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20" windowWidth="18060" windowHeight="7050" tabRatio="711" activeTab="0"/>
  </bookViews>
  <sheets>
    <sheet name="Priloha_8" sheetId="18" r:id="rId1"/>
    <sheet name="List1" sheetId="19" r:id="rId2"/>
  </sheets>
  <definedNames>
    <definedName name="_xlnm.Print_Area" localSheetId="0">'Priloha_8'!$A$1:$N$369</definedName>
    <definedName name="_xlnm.Print_Titles" localSheetId="0">'Priloha_8'!$3:$4</definedName>
  </definedNames>
  <calcPr calcId="152511"/>
</workbook>
</file>

<file path=xl/sharedStrings.xml><?xml version="1.0" encoding="utf-8"?>
<sst xmlns="http://schemas.openxmlformats.org/spreadsheetml/2006/main" count="452" uniqueCount="439">
  <si>
    <t>Česká Kamenice</t>
  </si>
  <si>
    <t>Děčín</t>
  </si>
  <si>
    <t>Dolní Podluží</t>
  </si>
  <si>
    <t>Dolní Poustevna</t>
  </si>
  <si>
    <t>Horní Habartice</t>
  </si>
  <si>
    <t>Hřensko</t>
  </si>
  <si>
    <t>Huntířov</t>
  </si>
  <si>
    <t>Jetřichovice</t>
  </si>
  <si>
    <t>Jílové</t>
  </si>
  <si>
    <t>Jiříkov</t>
  </si>
  <si>
    <t>Krásná Lípa</t>
  </si>
  <si>
    <t>Labská Stráň</t>
  </si>
  <si>
    <t>Lipová</t>
  </si>
  <si>
    <t>Ludvíkovice</t>
  </si>
  <si>
    <t>Malá Veleň</t>
  </si>
  <si>
    <t>Markvartice</t>
  </si>
  <si>
    <t>Mikulášovice</t>
  </si>
  <si>
    <t>Rumburk</t>
  </si>
  <si>
    <t>Srbská Kamenice</t>
  </si>
  <si>
    <t>Starý Šachov</t>
  </si>
  <si>
    <t>Varnsdorf</t>
  </si>
  <si>
    <t>Vilémov</t>
  </si>
  <si>
    <t>Bílence</t>
  </si>
  <si>
    <t>Droužkovice</t>
  </si>
  <si>
    <t>Chomutov</t>
  </si>
  <si>
    <t>Jirkov</t>
  </si>
  <si>
    <t>Kadaň</t>
  </si>
  <si>
    <t>Klášterec nad Ohří</t>
  </si>
  <si>
    <t>Libědice</t>
  </si>
  <si>
    <t>Měděnec</t>
  </si>
  <si>
    <t>Otvice</t>
  </si>
  <si>
    <t>Spořice</t>
  </si>
  <si>
    <t>Strupčice</t>
  </si>
  <si>
    <t>Vejprty</t>
  </si>
  <si>
    <t>Všehrdy</t>
  </si>
  <si>
    <t>Výsluní</t>
  </si>
  <si>
    <t>Brozany na Ohří</t>
  </si>
  <si>
    <t>Býčkovice</t>
  </si>
  <si>
    <t>Ctiněves</t>
  </si>
  <si>
    <t>Černěves</t>
  </si>
  <si>
    <t>Děčany</t>
  </si>
  <si>
    <t>Dobříň</t>
  </si>
  <si>
    <t>Dušníky</t>
  </si>
  <si>
    <t>Evaň</t>
  </si>
  <si>
    <t>Hlinná</t>
  </si>
  <si>
    <t>Hrobce</t>
  </si>
  <si>
    <t>Chodovlice</t>
  </si>
  <si>
    <t>Křešice</t>
  </si>
  <si>
    <t>Liběšice</t>
  </si>
  <si>
    <t>Libkovice pod Řípem</t>
  </si>
  <si>
    <t>Litoměřice</t>
  </si>
  <si>
    <t>Lovečkovice</t>
  </si>
  <si>
    <t>Lovosice</t>
  </si>
  <si>
    <t>Lukavec</t>
  </si>
  <si>
    <t>Malé Žernoseky</t>
  </si>
  <si>
    <t>Mnetěš</t>
  </si>
  <si>
    <t>Oleško</t>
  </si>
  <si>
    <t>Ploskovice</t>
  </si>
  <si>
    <t>Polepy</t>
  </si>
  <si>
    <t>Račice</t>
  </si>
  <si>
    <t>Roudnice nad Labem</t>
  </si>
  <si>
    <t>Sedlec</t>
  </si>
  <si>
    <t>Slatina</t>
  </si>
  <si>
    <t>Terezín</t>
  </si>
  <si>
    <t>Travčice</t>
  </si>
  <si>
    <t>Trnovany</t>
  </si>
  <si>
    <t>Třebívlice</t>
  </si>
  <si>
    <t>Úpohlavy</t>
  </si>
  <si>
    <t>Úštěk</t>
  </si>
  <si>
    <t>Velké Žernoseky</t>
  </si>
  <si>
    <t>Vchynice</t>
  </si>
  <si>
    <t>Vrbice</t>
  </si>
  <si>
    <t>Vrbičany</t>
  </si>
  <si>
    <t>Záluží</t>
  </si>
  <si>
    <t>Blažim</t>
  </si>
  <si>
    <t>Blšany</t>
  </si>
  <si>
    <t>Blšany u Loun</t>
  </si>
  <si>
    <t>Cítoliby</t>
  </si>
  <si>
    <t>Černčice</t>
  </si>
  <si>
    <t>Domoušice</t>
  </si>
  <si>
    <t>Hříškov</t>
  </si>
  <si>
    <t>Hřivice</t>
  </si>
  <si>
    <t>Jimlín</t>
  </si>
  <si>
    <t>Koštice</t>
  </si>
  <si>
    <t>Kryry</t>
  </si>
  <si>
    <t>Lenešice</t>
  </si>
  <si>
    <t>Libčeves</t>
  </si>
  <si>
    <t>Louny</t>
  </si>
  <si>
    <t>Očihov</t>
  </si>
  <si>
    <t>Panenský Týnec</t>
  </si>
  <si>
    <t>Pnětluky</t>
  </si>
  <si>
    <t>Podbořany</t>
  </si>
  <si>
    <t>Postoloprty</t>
  </si>
  <si>
    <t>Ročov</t>
  </si>
  <si>
    <t>Slavětín</t>
  </si>
  <si>
    <t>Velemyšleves</t>
  </si>
  <si>
    <t>Veltěže</t>
  </si>
  <si>
    <t>Vrbno nad Lesy</t>
  </si>
  <si>
    <t>Vroutek</t>
  </si>
  <si>
    <t>Zbrašín</t>
  </si>
  <si>
    <t>Žatec</t>
  </si>
  <si>
    <t>Bečov</t>
  </si>
  <si>
    <t>Braňany</t>
  </si>
  <si>
    <t>Brandov</t>
  </si>
  <si>
    <t>Klíny</t>
  </si>
  <si>
    <t>Korozluky</t>
  </si>
  <si>
    <t>Litvínov</t>
  </si>
  <si>
    <t>Most</t>
  </si>
  <si>
    <t>Obrnice</t>
  </si>
  <si>
    <t>Bílina</t>
  </si>
  <si>
    <t>Bystřany</t>
  </si>
  <si>
    <t>Bžany</t>
  </si>
  <si>
    <t>Dubí</t>
  </si>
  <si>
    <t>Hrobčice</t>
  </si>
  <si>
    <t>Ledvice</t>
  </si>
  <si>
    <t>Modlany</t>
  </si>
  <si>
    <t>Ohníč</t>
  </si>
  <si>
    <t>Proboštov</t>
  </si>
  <si>
    <t>Teplice</t>
  </si>
  <si>
    <t>Dolní Zálezly</t>
  </si>
  <si>
    <t>Homole u Panny</t>
  </si>
  <si>
    <t>Malečov</t>
  </si>
  <si>
    <t>Petrovice</t>
  </si>
  <si>
    <t>Přestanov</t>
  </si>
  <si>
    <t>Ryjice</t>
  </si>
  <si>
    <t>Tisá</t>
  </si>
  <si>
    <t>Trmice</t>
  </si>
  <si>
    <t>Ústí nad Labem</t>
  </si>
  <si>
    <t>Velké Březno</t>
  </si>
  <si>
    <t>Velké Chvojno</t>
  </si>
  <si>
    <t>Zubrnice</t>
  </si>
  <si>
    <t>zdravotnictví</t>
  </si>
  <si>
    <t>Čížkovice</t>
  </si>
  <si>
    <t>Lkáň</t>
  </si>
  <si>
    <t>Chlumčany</t>
  </si>
  <si>
    <t>Měcholupy</t>
  </si>
  <si>
    <t>Nová Ves</t>
  </si>
  <si>
    <t>Košťany</t>
  </si>
  <si>
    <t>Benešov nad Ploučnicí</t>
  </si>
  <si>
    <t>Dobkovice</t>
  </si>
  <si>
    <t>Dolní Habartice</t>
  </si>
  <si>
    <t>Šluknov</t>
  </si>
  <si>
    <t>Hora Svatého Šebestiána</t>
  </si>
  <si>
    <t>Radonice</t>
  </si>
  <si>
    <t>Černouček</t>
  </si>
  <si>
    <t>Chotiměř</t>
  </si>
  <si>
    <t>Chudoslavice</t>
  </si>
  <si>
    <t>Peruc</t>
  </si>
  <si>
    <t>Petrohrad</t>
  </si>
  <si>
    <t>Smolnice</t>
  </si>
  <si>
    <t>Tuchořice</t>
  </si>
  <si>
    <t>Háj u Duchcova</t>
  </si>
  <si>
    <t>Chuderov</t>
  </si>
  <si>
    <t>Řehlovice</t>
  </si>
  <si>
    <t>Meziboří</t>
  </si>
  <si>
    <t>Blatno</t>
  </si>
  <si>
    <t>Kalek</t>
  </si>
  <si>
    <t>Chotěšov</t>
  </si>
  <si>
    <t>Kyškovice</t>
  </si>
  <si>
    <t>Lhotka nad Labem</t>
  </si>
  <si>
    <t>Libotenice</t>
  </si>
  <si>
    <t>Malíč</t>
  </si>
  <si>
    <t>Radovesice</t>
  </si>
  <si>
    <t>Siřejovice</t>
  </si>
  <si>
    <t>Velemín</t>
  </si>
  <si>
    <t>Vrutice</t>
  </si>
  <si>
    <t>Žalhostice</t>
  </si>
  <si>
    <t>Deštnice</t>
  </si>
  <si>
    <t>Holedeč</t>
  </si>
  <si>
    <t>Chožov</t>
  </si>
  <si>
    <t>Kozly</t>
  </si>
  <si>
    <t>Lipno</t>
  </si>
  <si>
    <t>Lišany</t>
  </si>
  <si>
    <t>Nepomyšl</t>
  </si>
  <si>
    <t>Staňkovice</t>
  </si>
  <si>
    <t>Toužetín</t>
  </si>
  <si>
    <t>Výškov</t>
  </si>
  <si>
    <t>Žerotín</t>
  </si>
  <si>
    <t>Bělušice</t>
  </si>
  <si>
    <t>Jeníkov</t>
  </si>
  <si>
    <t>Kostomlaty pod Milešovkou</t>
  </si>
  <si>
    <t>Světec</t>
  </si>
  <si>
    <t>Malé Březno</t>
  </si>
  <si>
    <t>Arnoltice</t>
  </si>
  <si>
    <t>Dobrná</t>
  </si>
  <si>
    <t>Kámen</t>
  </si>
  <si>
    <t>Kunratice</t>
  </si>
  <si>
    <t>Kytlice</t>
  </si>
  <si>
    <t>Staré Křečany</t>
  </si>
  <si>
    <t>Loučná</t>
  </si>
  <si>
    <t>Nezabylice</t>
  </si>
  <si>
    <t>Bříza</t>
  </si>
  <si>
    <t>Doksany</t>
  </si>
  <si>
    <t>Křesín</t>
  </si>
  <si>
    <t>Žabovřesky nad Ohří</t>
  </si>
  <si>
    <t>Obora</t>
  </si>
  <si>
    <t>Vinařice</t>
  </si>
  <si>
    <t>Žiželice</t>
  </si>
  <si>
    <t>Lišnice</t>
  </si>
  <si>
    <t>Patokryje</t>
  </si>
  <si>
    <t>Měrunice</t>
  </si>
  <si>
    <t>Janov</t>
  </si>
  <si>
    <t>Kryštofovy Hamry</t>
  </si>
  <si>
    <t>Všestudy</t>
  </si>
  <si>
    <t>Klapý</t>
  </si>
  <si>
    <t>Čeradice</t>
  </si>
  <si>
    <t>celkem okresy</t>
  </si>
  <si>
    <t>okres Děčín</t>
  </si>
  <si>
    <t>Bynovec</t>
  </si>
  <si>
    <t>Doubice</t>
  </si>
  <si>
    <t xml:space="preserve">Františkov nad Ploučnicí </t>
  </si>
  <si>
    <t>Heřmanov</t>
  </si>
  <si>
    <t>Horní Podluží</t>
  </si>
  <si>
    <t>Chřibská</t>
  </si>
  <si>
    <t>Janská</t>
  </si>
  <si>
    <t>Jiřetín pod Jedlovou</t>
  </si>
  <si>
    <t>Lobendava</t>
  </si>
  <si>
    <t>Malšovice</t>
  </si>
  <si>
    <t>Merboltice</t>
  </si>
  <si>
    <t>Růžová</t>
  </si>
  <si>
    <t>Rybniště</t>
  </si>
  <si>
    <t>Těchlovice</t>
  </si>
  <si>
    <t>Valkeřice</t>
  </si>
  <si>
    <t>Velká Bukovina</t>
  </si>
  <si>
    <t>Velký Šenov</t>
  </si>
  <si>
    <t>Verneřice</t>
  </si>
  <si>
    <t>Veselé</t>
  </si>
  <si>
    <t>okres Chomutov</t>
  </si>
  <si>
    <t>Boleboř</t>
  </si>
  <si>
    <t>Březno</t>
  </si>
  <si>
    <t>Černovice</t>
  </si>
  <si>
    <t>Domašín</t>
  </si>
  <si>
    <t>Hrušovany</t>
  </si>
  <si>
    <t>Chbany</t>
  </si>
  <si>
    <t>Kovářská</t>
  </si>
  <si>
    <t>Křimov</t>
  </si>
  <si>
    <t>Málkov</t>
  </si>
  <si>
    <t>Mašťov</t>
  </si>
  <si>
    <t>Místo</t>
  </si>
  <si>
    <t>Okounov</t>
  </si>
  <si>
    <t>Perštejn</t>
  </si>
  <si>
    <t>Pesvice</t>
  </si>
  <si>
    <t>Pětipsy</t>
  </si>
  <si>
    <t>Račetice</t>
  </si>
  <si>
    <t>Rokle</t>
  </si>
  <si>
    <t>Údlice</t>
  </si>
  <si>
    <t>Veliká Ves</t>
  </si>
  <si>
    <t>Vrskmaň</t>
  </si>
  <si>
    <t>Vysoká Pec</t>
  </si>
  <si>
    <t>okres Litoměřice</t>
  </si>
  <si>
    <t>Bechlín</t>
  </si>
  <si>
    <t>Bohušovice nad Ohří</t>
  </si>
  <si>
    <t>Brňany</t>
  </si>
  <si>
    <t>Brzánky</t>
  </si>
  <si>
    <t>Budyně nad Ohří</t>
  </si>
  <si>
    <t>Černiv</t>
  </si>
  <si>
    <t>Dlažkovice</t>
  </si>
  <si>
    <t>Dolánky nad Ohří</t>
  </si>
  <si>
    <t>Drahobuz</t>
  </si>
  <si>
    <t>Horní Beřkovice</t>
  </si>
  <si>
    <t>Horní Řepčice</t>
  </si>
  <si>
    <t>Hošťka</t>
  </si>
  <si>
    <t>Chodouny</t>
  </si>
  <si>
    <t>Chotiněves</t>
  </si>
  <si>
    <t>Jenčice</t>
  </si>
  <si>
    <t>Kamýk</t>
  </si>
  <si>
    <t>Keblice</t>
  </si>
  <si>
    <t>Kleneč</t>
  </si>
  <si>
    <t>Kostomlaty pod Řípem</t>
  </si>
  <si>
    <t>Krabčice</t>
  </si>
  <si>
    <t>Levín</t>
  </si>
  <si>
    <t>Libochovany</t>
  </si>
  <si>
    <t>Libochovice</t>
  </si>
  <si>
    <t>Martiněves</t>
  </si>
  <si>
    <t>Michalovice</t>
  </si>
  <si>
    <t>Miřejovice</t>
  </si>
  <si>
    <t>Mlékojedy</t>
  </si>
  <si>
    <t>Mšené-lázně</t>
  </si>
  <si>
    <t>Nové Dvory</t>
  </si>
  <si>
    <t>Píšťany</t>
  </si>
  <si>
    <t>Podsedice</t>
  </si>
  <si>
    <t>Prackovice  nad Labem</t>
  </si>
  <si>
    <t>Přestavlky</t>
  </si>
  <si>
    <t>Račiněves</t>
  </si>
  <si>
    <t>Rochov</t>
  </si>
  <si>
    <t>Snědovice</t>
  </si>
  <si>
    <t>Straškov - Vodochody</t>
  </si>
  <si>
    <t>Sulejovice</t>
  </si>
  <si>
    <t>Štětí</t>
  </si>
  <si>
    <t>Třebenice</t>
  </si>
  <si>
    <t>Třebušín</t>
  </si>
  <si>
    <t>Vědomice</t>
  </si>
  <si>
    <t>Vlastislav</t>
  </si>
  <si>
    <t>Vražkov</t>
  </si>
  <si>
    <t>Židovice</t>
  </si>
  <si>
    <t>Žitenice</t>
  </si>
  <si>
    <t>okres Louny</t>
  </si>
  <si>
    <t>Bitozeves</t>
  </si>
  <si>
    <t>Brodec</t>
  </si>
  <si>
    <t>Břvany</t>
  </si>
  <si>
    <t>Dobroměřice</t>
  </si>
  <si>
    <t>Chraberce</t>
  </si>
  <si>
    <t>Krásný Dvůr</t>
  </si>
  <si>
    <t>Libočany</t>
  </si>
  <si>
    <t>Libořice</t>
  </si>
  <si>
    <t>Líšťany</t>
  </si>
  <si>
    <t>Lubenec</t>
  </si>
  <si>
    <t>Nové Sedlo</t>
  </si>
  <si>
    <t>Opočno</t>
  </si>
  <si>
    <t>Počedělice</t>
  </si>
  <si>
    <t>Podbořanský Rohozec</t>
  </si>
  <si>
    <t>Raná</t>
  </si>
  <si>
    <t>Úherce</t>
  </si>
  <si>
    <t>Vršovice</t>
  </si>
  <si>
    <t>Zálužice</t>
  </si>
  <si>
    <t>Želkovice</t>
  </si>
  <si>
    <t>okres Most</t>
  </si>
  <si>
    <t>Český Jiřetín</t>
  </si>
  <si>
    <t>Havraň</t>
  </si>
  <si>
    <t>Hora Svaté Kateřiny</t>
  </si>
  <si>
    <t>Horní Jiřetín</t>
  </si>
  <si>
    <t>Lom</t>
  </si>
  <si>
    <t>Louka u Litvínova</t>
  </si>
  <si>
    <t>Lužice</t>
  </si>
  <si>
    <t>Mariánské Radčice</t>
  </si>
  <si>
    <t>Nová Ves  v Horách</t>
  </si>
  <si>
    <t>Polerady</t>
  </si>
  <si>
    <t>Skršín</t>
  </si>
  <si>
    <t>Volevčice</t>
  </si>
  <si>
    <t>Želenice</t>
  </si>
  <si>
    <t>okres Teplice</t>
  </si>
  <si>
    <t>Bořislav</t>
  </si>
  <si>
    <t>Duchcov</t>
  </si>
  <si>
    <t>Hostomice</t>
  </si>
  <si>
    <t>Hrob</t>
  </si>
  <si>
    <t>Kladruby</t>
  </si>
  <si>
    <t>Krupka</t>
  </si>
  <si>
    <t>Lahošť</t>
  </si>
  <si>
    <t>Lukov</t>
  </si>
  <si>
    <t>Mikulov</t>
  </si>
  <si>
    <t>Moldava</t>
  </si>
  <si>
    <t>Novosedlice</t>
  </si>
  <si>
    <t>Osek</t>
  </si>
  <si>
    <t>Rtyně  nad Bílinou</t>
  </si>
  <si>
    <t>Srbice</t>
  </si>
  <si>
    <t>Újezdeček</t>
  </si>
  <si>
    <t>Zabrušany</t>
  </si>
  <si>
    <t>Žalany</t>
  </si>
  <si>
    <t>Žim</t>
  </si>
  <si>
    <t xml:space="preserve">okres Ústí nad Labem </t>
  </si>
  <si>
    <t>Habrovany</t>
  </si>
  <si>
    <t>Chabařovice</t>
  </si>
  <si>
    <t>Chlumec</t>
  </si>
  <si>
    <t>Libouchec</t>
  </si>
  <si>
    <t>Povrly</t>
  </si>
  <si>
    <t>Stebno</t>
  </si>
  <si>
    <t>Tašov</t>
  </si>
  <si>
    <t>Telnice</t>
  </si>
  <si>
    <t>Zpracoval: ekonomický odbor</t>
  </si>
  <si>
    <t>památky,
kultura</t>
  </si>
  <si>
    <t>sport, školství, volný čas</t>
  </si>
  <si>
    <t>Celkem 2021</t>
  </si>
  <si>
    <t>sociální 
věci, humanitární pomoc</t>
  </si>
  <si>
    <t>doprava - silnice, mosty, chodníky, cyklostezky</t>
  </si>
  <si>
    <t>Celkem 2002-2021</t>
  </si>
  <si>
    <t>Celkem 2002-2020</t>
  </si>
  <si>
    <t>dobrovolní hasiči, rozvoj obcí</t>
  </si>
  <si>
    <t>odpadové hospodářství a životní prostředí</t>
  </si>
  <si>
    <t>Příloha č. 7</t>
  </si>
  <si>
    <t>Rok 2022</t>
  </si>
  <si>
    <t>Celkem 2002-2022</t>
  </si>
  <si>
    <t>Celkem 2022</t>
  </si>
  <si>
    <t>Číslo obce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</si>
  <si>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</si>
  <si>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</si>
  <si>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</si>
  <si>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</si>
  <si>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</si>
  <si>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</si>
  <si>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</si>
  <si>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</si>
  <si>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</si>
  <si>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</si>
  <si>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</si>
  <si>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</si>
  <si>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</si>
  <si>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</si>
  <si>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</si>
  <si>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</si>
  <si>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</si>
  <si>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</si>
  <si>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</si>
  <si>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</si>
  <si>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</si>
  <si>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</si>
  <si>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</si>
  <si>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</si>
  <si>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</si>
  <si>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</si>
  <si>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</si>
  <si>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</si>
  <si>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</si>
  <si>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</si>
  <si>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</si>
  <si>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</si>
  <si>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</si>
  <si>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</si>
  <si>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</si>
  <si>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</si>
  <si>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</si>
  <si>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</si>
  <si>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</si>
  <si>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</si>
  <si>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</si>
  <si>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</si>
  <si>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</si>
  <si>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</si>
  <si>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</si>
  <si>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1051</t>
  </si>
  <si>
    <t>1052</t>
  </si>
  <si>
    <t>1053</t>
  </si>
  <si>
    <t>okres</t>
  </si>
  <si>
    <t>počet obcí</t>
  </si>
  <si>
    <t>počet DSO včetně zrušených (2002-2022)</t>
  </si>
  <si>
    <t>počet obyvatel k 31.12.2022</t>
  </si>
  <si>
    <t>dotace DSO 2022</t>
  </si>
  <si>
    <t>dotace obce 2022</t>
  </si>
  <si>
    <t>dotace celkem 2022</t>
  </si>
  <si>
    <t>dotace</t>
  </si>
  <si>
    <t>na jednoho obyvatele</t>
  </si>
  <si>
    <t>v roce 2022</t>
  </si>
  <si>
    <t>tis. Kč</t>
  </si>
  <si>
    <t>Kč</t>
  </si>
  <si>
    <t>54 149</t>
  </si>
  <si>
    <t xml:space="preserve">Ústí nad Labem </t>
  </si>
  <si>
    <t>celkem</t>
  </si>
  <si>
    <t>vodovody  kanalizace</t>
  </si>
  <si>
    <t>V Ústí nad Labem dne 12.05.2023</t>
  </si>
  <si>
    <r>
      <t xml:space="preserve">PŘEHLED DOTACÍ POSKYTNUTÝCH OBCÍM Z ROZPOČTU ÚK 
ZA ROK 2022 A ZA OBDOBÍ  2002-2022 </t>
    </r>
    <r>
      <rPr>
        <sz val="12"/>
        <rFont val="Century Gothic"/>
        <family val="2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</si>
</sst>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 tint="-0.1499900072813034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color rgb="FFFF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9BB7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8CB4F4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>
        <color theme="4" tint="0.39998000860214233"/>
      </left>
      <right style="thin">
        <color theme="4" tint="0.3999499976634979"/>
      </right>
      <top style="medium">
        <color theme="4" tint="0.3999499976634979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medium">
        <color theme="4" tint="0.3999499976634979"/>
      </top>
      <bottom style="thin">
        <color theme="4" tint="0.39998000860214233"/>
      </bottom>
    </border>
    <border>
      <left style="thin">
        <color theme="4" tint="0.39991000294685364"/>
      </left>
      <right style="medium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1000294685364"/>
      </left>
      <right style="medium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medium">
        <color theme="4" tint="0.39998000860214233"/>
      </left>
      <right/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1000294685364"/>
      </left>
      <right style="medium">
        <color theme="4" tint="0.3999499976634979"/>
      </right>
      <top style="thin">
        <color theme="4" tint="0.3999499976634979"/>
      </top>
      <bottom style="medium">
        <color theme="4" tint="0.3999499976634979"/>
      </bottom>
    </border>
    <border>
      <left/>
      <right style="medium">
        <color theme="4" tint="0.3999499976634979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medium">
        <color theme="4" tint="0.3999499976634979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medium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medium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medium">
        <color theme="4" tint="0.3999499976634979"/>
      </right>
      <top style="medium">
        <color theme="4" tint="0.39998000860214233"/>
      </top>
      <bottom style="thin">
        <color theme="4" tint="0.3999800086021423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2" fillId="0" borderId="0" xfId="0" applyFont="1" applyFill="1" applyBorder="1"/>
    <xf numFmtId="0" fontId="2" fillId="0" borderId="0" xfId="0" applyFont="1" applyFill="1" applyBorder="1"/>
    <xf numFmtId="0" fontId="0" fillId="0" borderId="0" xfId="0"/>
    <xf numFmtId="0" fontId="0" fillId="0" borderId="0" xfId="0" applyFill="1"/>
    <xf numFmtId="3" fontId="0" fillId="0" borderId="0" xfId="0" applyNumberFormat="1"/>
    <xf numFmtId="0" fontId="0" fillId="2" borderId="0" xfId="0" applyFill="1"/>
    <xf numFmtId="3" fontId="0" fillId="0" borderId="0" xfId="0" applyNumberFormat="1" applyFill="1"/>
    <xf numFmtId="0" fontId="3" fillId="0" borderId="0" xfId="0" applyFont="1"/>
    <xf numFmtId="0" fontId="2" fillId="3" borderId="0" xfId="0" applyFont="1" applyFill="1" applyBorder="1"/>
    <xf numFmtId="0" fontId="2" fillId="4" borderId="0" xfId="0" applyFont="1" applyFill="1" applyBorder="1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/>
    <xf numFmtId="0" fontId="6" fillId="0" borderId="0" xfId="0" applyFont="1" applyFill="1" applyBorder="1"/>
    <xf numFmtId="0" fontId="4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right" vertical="center"/>
    </xf>
    <xf numFmtId="3" fontId="9" fillId="5" borderId="14" xfId="0" applyNumberFormat="1" applyFont="1" applyFill="1" applyBorder="1"/>
    <xf numFmtId="3" fontId="9" fillId="0" borderId="14" xfId="0" applyNumberFormat="1" applyFont="1" applyFill="1" applyBorder="1"/>
    <xf numFmtId="3" fontId="9" fillId="4" borderId="10" xfId="0" applyNumberFormat="1" applyFont="1" applyFill="1" applyBorder="1" applyAlignment="1">
      <alignment horizontal="right" vertical="center"/>
    </xf>
    <xf numFmtId="3" fontId="10" fillId="4" borderId="13" xfId="0" applyNumberFormat="1" applyFont="1" applyFill="1" applyBorder="1" applyAlignment="1">
      <alignment horizontal="right" vertical="center"/>
    </xf>
    <xf numFmtId="3" fontId="9" fillId="4" borderId="14" xfId="0" applyNumberFormat="1" applyFont="1" applyFill="1" applyBorder="1"/>
    <xf numFmtId="0" fontId="7" fillId="0" borderId="15" xfId="0" applyFont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/>
    <xf numFmtId="0" fontId="14" fillId="0" borderId="21" xfId="0" applyFont="1" applyBorder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5" fillId="6" borderId="2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5" fillId="7" borderId="25" xfId="0" applyFont="1" applyFill="1" applyBorder="1" applyAlignment="1">
      <alignment vertical="center"/>
    </xf>
    <xf numFmtId="0" fontId="15" fillId="7" borderId="24" xfId="0" applyFont="1" applyFill="1" applyBorder="1" applyAlignment="1">
      <alignment horizontal="right" vertical="center" wrapText="1"/>
    </xf>
    <xf numFmtId="3" fontId="15" fillId="7" borderId="24" xfId="0" applyNumberFormat="1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3" fontId="17" fillId="3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right" vertical="center"/>
    </xf>
    <xf numFmtId="3" fontId="9" fillId="10" borderId="10" xfId="0" applyNumberFormat="1" applyFont="1" applyFill="1" applyBorder="1" applyAlignment="1">
      <alignment horizontal="right" vertical="center"/>
    </xf>
    <xf numFmtId="0" fontId="9" fillId="10" borderId="15" xfId="0" applyFont="1" applyFill="1" applyBorder="1" applyAlignment="1">
      <alignment vertical="center"/>
    </xf>
    <xf numFmtId="0" fontId="9" fillId="10" borderId="27" xfId="0" applyFont="1" applyFill="1" applyBorder="1" applyAlignment="1">
      <alignment vertical="center"/>
    </xf>
    <xf numFmtId="3" fontId="9" fillId="10" borderId="9" xfId="0" applyNumberFormat="1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3" fontId="10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/>
    <xf numFmtId="3" fontId="9" fillId="2" borderId="14" xfId="0" applyNumberFormat="1" applyFont="1" applyFill="1" applyBorder="1" applyAlignment="1">
      <alignment vertical="center"/>
    </xf>
    <xf numFmtId="3" fontId="7" fillId="11" borderId="10" xfId="0" applyNumberFormat="1" applyFont="1" applyFill="1" applyBorder="1" applyAlignment="1">
      <alignment horizontal="right" vertical="center"/>
    </xf>
    <xf numFmtId="0" fontId="7" fillId="11" borderId="10" xfId="0" applyFont="1" applyFill="1" applyBorder="1" applyAlignment="1">
      <alignment horizontal="center" vertical="center" wrapText="1"/>
    </xf>
    <xf numFmtId="3" fontId="7" fillId="11" borderId="10" xfId="0" applyNumberFormat="1" applyFont="1" applyFill="1" applyBorder="1" applyAlignment="1">
      <alignment vertical="center"/>
    </xf>
    <xf numFmtId="3" fontId="7" fillId="11" borderId="10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vertical="center"/>
    </xf>
    <xf numFmtId="0" fontId="7" fillId="4" borderId="2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2"/>
  <sheetViews>
    <sheetView tabSelected="1" zoomScale="145" zoomScaleNormal="145" zoomScalePageLayoutView="85" workbookViewId="0" topLeftCell="A1">
      <selection activeCell="A4" sqref="A4"/>
    </sheetView>
  </sheetViews>
  <sheetFormatPr defaultColWidth="9.140625" defaultRowHeight="15"/>
  <cols>
    <col min="1" max="1" width="20.8515625" style="2" customWidth="1"/>
    <col min="2" max="2" width="20.8515625" style="2" hidden="1" customWidth="1"/>
    <col min="3" max="3" width="10.8515625" style="2" bestFit="1" customWidth="1"/>
    <col min="4" max="4" width="9.7109375" style="2" customWidth="1"/>
    <col min="5" max="5" width="8.7109375" style="2" bestFit="1" customWidth="1"/>
    <col min="6" max="6" width="13.7109375" style="2" customWidth="1"/>
    <col min="7" max="7" width="12.7109375" style="5" customWidth="1"/>
    <col min="8" max="8" width="10.8515625" style="2" customWidth="1"/>
    <col min="9" max="9" width="11.28125" style="2" customWidth="1"/>
    <col min="10" max="10" width="12.8515625" style="2" customWidth="1"/>
    <col min="11" max="11" width="8.140625" style="4" customWidth="1"/>
    <col min="12" max="12" width="10.28125" style="4" hidden="1" customWidth="1"/>
    <col min="13" max="13" width="11.00390625" style="14" hidden="1" customWidth="1"/>
    <col min="14" max="14" width="11.00390625" style="1" customWidth="1"/>
    <col min="15" max="17" width="9.140625" style="1" customWidth="1"/>
    <col min="18" max="18" width="9.140625" style="1" hidden="1" customWidth="1"/>
    <col min="19" max="19" width="9.140625" style="1" customWidth="1"/>
    <col min="20" max="20" width="10.8515625" style="1" bestFit="1" customWidth="1"/>
    <col min="21" max="44" width="9.140625" style="1" customWidth="1"/>
  </cols>
  <sheetData>
    <row r="1" spans="1:13" ht="39" customHeight="1">
      <c r="A1" s="93" t="s">
        <v>438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" t="s">
        <v>368</v>
      </c>
    </row>
    <row r="2" spans="1:7" ht="12.75" customHeight="1" thickBot="1">
      <c r="A2" s="7"/>
      <c r="B2" s="7"/>
      <c r="G2" s="3"/>
    </row>
    <row r="3" spans="1:14" ht="15.75" thickBot="1">
      <c r="A3" s="48"/>
      <c r="B3" s="49"/>
      <c r="C3" s="88" t="s">
        <v>369</v>
      </c>
      <c r="D3" s="89"/>
      <c r="E3" s="89"/>
      <c r="F3" s="89"/>
      <c r="G3" s="89"/>
      <c r="H3" s="89"/>
      <c r="I3" s="89"/>
      <c r="J3" s="89"/>
      <c r="K3" s="90"/>
      <c r="L3" s="50"/>
      <c r="M3" s="21"/>
      <c r="N3" s="51"/>
    </row>
    <row r="4" spans="1:18" ht="72" customHeight="1">
      <c r="A4" s="22"/>
      <c r="B4" s="23" t="s">
        <v>372</v>
      </c>
      <c r="C4" s="24" t="s">
        <v>436</v>
      </c>
      <c r="D4" s="84" t="s">
        <v>359</v>
      </c>
      <c r="E4" s="66" t="s">
        <v>360</v>
      </c>
      <c r="F4" s="84" t="s">
        <v>131</v>
      </c>
      <c r="G4" s="66" t="s">
        <v>362</v>
      </c>
      <c r="H4" s="84" t="s">
        <v>363</v>
      </c>
      <c r="I4" s="25" t="s">
        <v>366</v>
      </c>
      <c r="J4" s="84" t="s">
        <v>367</v>
      </c>
      <c r="K4" s="70" t="s">
        <v>371</v>
      </c>
      <c r="L4" s="26" t="s">
        <v>365</v>
      </c>
      <c r="M4" s="27" t="s">
        <v>364</v>
      </c>
      <c r="N4" s="27" t="s">
        <v>370</v>
      </c>
      <c r="R4" s="67" t="s">
        <v>361</v>
      </c>
    </row>
    <row r="5" spans="1:44" s="8" customFormat="1" ht="15">
      <c r="A5" s="73" t="s">
        <v>206</v>
      </c>
      <c r="B5" s="74"/>
      <c r="C5" s="75">
        <f>C6+C59+C104+C210+C281+C308+C343+2</f>
        <v>17255</v>
      </c>
      <c r="D5" s="72">
        <f>D6+D59+D104+D210+D281+D308+D343-1</f>
        <v>27410</v>
      </c>
      <c r="E5" s="72">
        <f>E6+E59+E104+E210+E281+E308+E343-2</f>
        <v>4093</v>
      </c>
      <c r="F5" s="72">
        <f aca="true" t="shared" si="0" ref="F5">F6+F59+F104+F210+F281+F308+F343</f>
        <v>45304</v>
      </c>
      <c r="G5" s="72">
        <f>G6+G59+G104+G210+G281+G308+G343-2</f>
        <v>6371</v>
      </c>
      <c r="H5" s="72">
        <f>H6+H59+H104+H210+H281+H308+H343</f>
        <v>21452</v>
      </c>
      <c r="I5" s="72">
        <f>I6+I59+I104+I210+I281+I308+I343</f>
        <v>31655</v>
      </c>
      <c r="J5" s="72">
        <f>J6+J59+J104+J210+J281+J308+J343</f>
        <v>28140</v>
      </c>
      <c r="K5" s="72">
        <f>J5+I5+H5+G5+F5+E5+D5+C5</f>
        <v>181680</v>
      </c>
      <c r="L5" s="28">
        <v>2603780.3988400004</v>
      </c>
      <c r="M5" s="29">
        <v>2814324.3988400004</v>
      </c>
      <c r="N5" s="69">
        <f>M5+K5</f>
        <v>2996004.3988400004</v>
      </c>
      <c r="O5" s="1"/>
      <c r="P5" s="1"/>
      <c r="Q5" s="1"/>
      <c r="R5" s="68">
        <v>210544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9" customFormat="1" ht="15">
      <c r="A6" s="77" t="s">
        <v>207</v>
      </c>
      <c r="B6" s="78">
        <v>1000</v>
      </c>
      <c r="C6" s="76">
        <f>SUM(C7:C58)</f>
        <v>1839</v>
      </c>
      <c r="D6" s="38">
        <f aca="true" t="shared" si="1" ref="D6:J6">SUM(D7:D58)</f>
        <v>5463</v>
      </c>
      <c r="E6" s="38">
        <f t="shared" si="1"/>
        <v>678</v>
      </c>
      <c r="F6" s="38">
        <f t="shared" si="1"/>
        <v>3350</v>
      </c>
      <c r="G6" s="38">
        <f t="shared" si="1"/>
        <v>2838</v>
      </c>
      <c r="H6" s="38">
        <f t="shared" si="1"/>
        <v>4979</v>
      </c>
      <c r="I6" s="38">
        <f>SUM(I7:I58)</f>
        <v>3081</v>
      </c>
      <c r="J6" s="38">
        <f t="shared" si="1"/>
        <v>6686</v>
      </c>
      <c r="K6" s="38">
        <f>SUM(K7:K58)</f>
        <v>28914</v>
      </c>
      <c r="L6" s="32">
        <v>358605.66963</v>
      </c>
      <c r="M6" s="33">
        <v>377505.66963</v>
      </c>
      <c r="N6" s="69">
        <f>M6+K6</f>
        <v>406419.66963</v>
      </c>
      <c r="O6" s="1"/>
      <c r="P6" s="98"/>
      <c r="Q6" s="1"/>
      <c r="R6" s="68">
        <v>18902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18" ht="15">
      <c r="A7" s="34" t="s">
        <v>183</v>
      </c>
      <c r="B7" s="15" t="s">
        <v>373</v>
      </c>
      <c r="C7" s="35"/>
      <c r="D7" s="85">
        <v>250</v>
      </c>
      <c r="E7" s="36"/>
      <c r="F7" s="85"/>
      <c r="G7" s="36">
        <v>200</v>
      </c>
      <c r="H7" s="85"/>
      <c r="I7" s="37"/>
      <c r="J7" s="85"/>
      <c r="K7" s="31">
        <f aca="true" t="shared" si="2" ref="K7:K57">SUM(C7:J7)</f>
        <v>450</v>
      </c>
      <c r="L7" s="39">
        <v>3120</v>
      </c>
      <c r="M7" s="30">
        <v>3120</v>
      </c>
      <c r="N7" s="69">
        <f>M7+K7</f>
        <v>3570</v>
      </c>
      <c r="P7" s="13"/>
      <c r="R7" s="68">
        <v>0</v>
      </c>
    </row>
    <row r="8" spans="1:18" ht="27">
      <c r="A8" s="34" t="s">
        <v>138</v>
      </c>
      <c r="B8" s="16" t="s">
        <v>374</v>
      </c>
      <c r="C8" s="35"/>
      <c r="D8" s="83"/>
      <c r="E8" s="37"/>
      <c r="F8" s="83"/>
      <c r="G8" s="36"/>
      <c r="H8" s="83"/>
      <c r="I8" s="36">
        <v>150</v>
      </c>
      <c r="J8" s="83">
        <f>55</f>
        <v>55</v>
      </c>
      <c r="K8" s="31">
        <f t="shared" si="2"/>
        <v>205</v>
      </c>
      <c r="L8" s="39">
        <v>4154.475</v>
      </c>
      <c r="M8" s="30">
        <v>4234.475</v>
      </c>
      <c r="N8" s="69">
        <f aca="true" t="shared" si="3" ref="N8:N68">M8+K8</f>
        <v>4439.475</v>
      </c>
      <c r="R8" s="68">
        <v>80</v>
      </c>
    </row>
    <row r="9" spans="1:18" ht="15">
      <c r="A9" s="34" t="s">
        <v>208</v>
      </c>
      <c r="B9" s="16" t="s">
        <v>375</v>
      </c>
      <c r="C9" s="35"/>
      <c r="D9" s="83">
        <f>160</f>
        <v>160</v>
      </c>
      <c r="E9" s="36"/>
      <c r="F9" s="83"/>
      <c r="G9" s="36"/>
      <c r="H9" s="83">
        <v>223</v>
      </c>
      <c r="I9" s="37"/>
      <c r="J9" s="83"/>
      <c r="K9" s="31">
        <f t="shared" si="2"/>
        <v>383</v>
      </c>
      <c r="L9" s="39">
        <v>2048</v>
      </c>
      <c r="M9" s="30">
        <v>2048</v>
      </c>
      <c r="N9" s="69">
        <f t="shared" si="3"/>
        <v>2431</v>
      </c>
      <c r="R9" s="68">
        <v>0</v>
      </c>
    </row>
    <row r="10" spans="1:18" ht="15">
      <c r="A10" s="34" t="s">
        <v>0</v>
      </c>
      <c r="B10" s="16" t="s">
        <v>376</v>
      </c>
      <c r="C10" s="35"/>
      <c r="D10" s="83">
        <f>90+81+81</f>
        <v>252</v>
      </c>
      <c r="E10" s="36"/>
      <c r="F10" s="83"/>
      <c r="G10" s="36">
        <v>100</v>
      </c>
      <c r="H10" s="83"/>
      <c r="I10" s="36">
        <f>141+150</f>
        <v>291</v>
      </c>
      <c r="J10" s="83">
        <v>10</v>
      </c>
      <c r="K10" s="31">
        <f t="shared" si="2"/>
        <v>653</v>
      </c>
      <c r="L10" s="39">
        <v>8655</v>
      </c>
      <c r="M10" s="30">
        <v>9100</v>
      </c>
      <c r="N10" s="69">
        <f t="shared" si="3"/>
        <v>9753</v>
      </c>
      <c r="R10" s="68">
        <v>445</v>
      </c>
    </row>
    <row r="11" spans="1:18" ht="15">
      <c r="A11" s="34" t="s">
        <v>1</v>
      </c>
      <c r="B11" s="16" t="s">
        <v>377</v>
      </c>
      <c r="C11" s="35"/>
      <c r="D11" s="83">
        <f>1560+90+958</f>
        <v>2608</v>
      </c>
      <c r="E11" s="37">
        <f>22+70</f>
        <v>92</v>
      </c>
      <c r="F11" s="83"/>
      <c r="G11" s="37">
        <f>521+207+210+6</f>
        <v>944</v>
      </c>
      <c r="H11" s="83"/>
      <c r="I11" s="36">
        <f>550</f>
        <v>550</v>
      </c>
      <c r="J11" s="83"/>
      <c r="K11" s="31">
        <f t="shared" si="2"/>
        <v>4194</v>
      </c>
      <c r="L11" s="39">
        <v>110525.21340000001</v>
      </c>
      <c r="M11" s="30">
        <v>115060.21340000001</v>
      </c>
      <c r="N11" s="69">
        <f t="shared" si="3"/>
        <v>119254.21340000001</v>
      </c>
      <c r="R11" s="68">
        <v>4535</v>
      </c>
    </row>
    <row r="12" spans="1:18" ht="15">
      <c r="A12" s="34" t="s">
        <v>139</v>
      </c>
      <c r="B12" s="16" t="s">
        <v>378</v>
      </c>
      <c r="C12" s="35"/>
      <c r="D12" s="85"/>
      <c r="E12" s="36"/>
      <c r="F12" s="85"/>
      <c r="G12" s="36"/>
      <c r="H12" s="85"/>
      <c r="I12" s="36">
        <f>493</f>
        <v>493</v>
      </c>
      <c r="J12" s="85"/>
      <c r="K12" s="31">
        <f t="shared" si="2"/>
        <v>493</v>
      </c>
      <c r="L12" s="39">
        <v>3767</v>
      </c>
      <c r="M12" s="30">
        <v>3767</v>
      </c>
      <c r="N12" s="69">
        <f t="shared" si="3"/>
        <v>4260</v>
      </c>
      <c r="R12" s="68">
        <v>0</v>
      </c>
    </row>
    <row r="13" spans="1:18" ht="15">
      <c r="A13" s="34" t="s">
        <v>184</v>
      </c>
      <c r="B13" s="16" t="s">
        <v>379</v>
      </c>
      <c r="C13" s="35"/>
      <c r="D13" s="85"/>
      <c r="E13" s="36"/>
      <c r="F13" s="85"/>
      <c r="G13" s="36"/>
      <c r="H13" s="85"/>
      <c r="I13" s="36"/>
      <c r="J13" s="85"/>
      <c r="K13" s="31">
        <f t="shared" si="2"/>
        <v>0</v>
      </c>
      <c r="L13" s="39">
        <v>369.93600000000004</v>
      </c>
      <c r="M13" s="30">
        <v>369.93600000000004</v>
      </c>
      <c r="N13" s="69">
        <f t="shared" si="3"/>
        <v>369.93600000000004</v>
      </c>
      <c r="R13" s="68">
        <v>0</v>
      </c>
    </row>
    <row r="14" spans="1:18" ht="15.75" customHeight="1">
      <c r="A14" s="34" t="s">
        <v>140</v>
      </c>
      <c r="B14" s="16" t="s">
        <v>380</v>
      </c>
      <c r="C14" s="40"/>
      <c r="D14" s="85"/>
      <c r="E14" s="36"/>
      <c r="F14" s="85"/>
      <c r="G14" s="36"/>
      <c r="H14" s="85"/>
      <c r="I14" s="36"/>
      <c r="J14" s="85"/>
      <c r="K14" s="31">
        <f t="shared" si="2"/>
        <v>0</v>
      </c>
      <c r="L14" s="39">
        <v>3886</v>
      </c>
      <c r="M14" s="30">
        <v>3886</v>
      </c>
      <c r="N14" s="69">
        <f t="shared" si="3"/>
        <v>3886</v>
      </c>
      <c r="R14" s="68">
        <v>0</v>
      </c>
    </row>
    <row r="15" spans="1:18" ht="15">
      <c r="A15" s="34" t="s">
        <v>2</v>
      </c>
      <c r="B15" s="16" t="s">
        <v>381</v>
      </c>
      <c r="C15" s="35"/>
      <c r="D15" s="85">
        <f>428</f>
        <v>428</v>
      </c>
      <c r="E15" s="36"/>
      <c r="F15" s="85"/>
      <c r="G15" s="36">
        <f>6</f>
        <v>6</v>
      </c>
      <c r="H15" s="85">
        <f>635</f>
        <v>635</v>
      </c>
      <c r="I15" s="36">
        <f>500</f>
        <v>500</v>
      </c>
      <c r="J15" s="85"/>
      <c r="K15" s="31">
        <f t="shared" si="2"/>
        <v>1569</v>
      </c>
      <c r="L15" s="39">
        <v>5957.64</v>
      </c>
      <c r="M15" s="30">
        <v>6509.64</v>
      </c>
      <c r="N15" s="69">
        <f t="shared" si="3"/>
        <v>8078.64</v>
      </c>
      <c r="R15" s="68">
        <v>552</v>
      </c>
    </row>
    <row r="16" spans="1:18" ht="15">
      <c r="A16" s="34" t="s">
        <v>3</v>
      </c>
      <c r="B16" s="16" t="s">
        <v>382</v>
      </c>
      <c r="C16" s="35"/>
      <c r="D16" s="83">
        <f>90+20</f>
        <v>110</v>
      </c>
      <c r="E16" s="37"/>
      <c r="F16" s="83"/>
      <c r="G16" s="36"/>
      <c r="H16" s="83"/>
      <c r="I16" s="36"/>
      <c r="J16" s="83"/>
      <c r="K16" s="31">
        <f t="shared" si="2"/>
        <v>110</v>
      </c>
      <c r="L16" s="39">
        <v>10438.891000000001</v>
      </c>
      <c r="M16" s="30">
        <v>11132.891000000001</v>
      </c>
      <c r="N16" s="69">
        <f t="shared" si="3"/>
        <v>11242.891000000001</v>
      </c>
      <c r="R16" s="68">
        <v>694</v>
      </c>
    </row>
    <row r="17" spans="1:18" ht="15">
      <c r="A17" s="34" t="s">
        <v>209</v>
      </c>
      <c r="B17" s="16" t="s">
        <v>383</v>
      </c>
      <c r="C17" s="35"/>
      <c r="D17" s="85"/>
      <c r="E17" s="36"/>
      <c r="F17" s="85"/>
      <c r="G17" s="36"/>
      <c r="H17" s="85"/>
      <c r="I17" s="36"/>
      <c r="J17" s="85">
        <f>35</f>
        <v>35</v>
      </c>
      <c r="K17" s="31">
        <f t="shared" si="2"/>
        <v>35</v>
      </c>
      <c r="L17" s="39">
        <v>1395</v>
      </c>
      <c r="M17" s="30">
        <v>1435</v>
      </c>
      <c r="N17" s="69">
        <f t="shared" si="3"/>
        <v>1470</v>
      </c>
      <c r="R17" s="68">
        <v>40</v>
      </c>
    </row>
    <row r="18" spans="1:18" ht="27">
      <c r="A18" s="34" t="s">
        <v>210</v>
      </c>
      <c r="B18" s="16" t="s">
        <v>384</v>
      </c>
      <c r="C18" s="40"/>
      <c r="D18" s="83"/>
      <c r="E18" s="37"/>
      <c r="F18" s="83"/>
      <c r="G18" s="37"/>
      <c r="H18" s="83"/>
      <c r="I18" s="37"/>
      <c r="J18" s="83"/>
      <c r="K18" s="31">
        <f t="shared" si="2"/>
        <v>0</v>
      </c>
      <c r="L18" s="39">
        <v>1859</v>
      </c>
      <c r="M18" s="30">
        <v>1859</v>
      </c>
      <c r="N18" s="69">
        <f t="shared" si="3"/>
        <v>1859</v>
      </c>
      <c r="R18" s="68">
        <v>0</v>
      </c>
    </row>
    <row r="19" spans="1:18" ht="15">
      <c r="A19" s="34" t="s">
        <v>211</v>
      </c>
      <c r="B19" s="16" t="s">
        <v>385</v>
      </c>
      <c r="C19" s="35"/>
      <c r="D19" s="83"/>
      <c r="E19" s="36"/>
      <c r="F19" s="83"/>
      <c r="G19" s="36"/>
      <c r="H19" s="83"/>
      <c r="I19" s="36"/>
      <c r="J19" s="83">
        <f>202</f>
        <v>202</v>
      </c>
      <c r="K19" s="31">
        <f t="shared" si="2"/>
        <v>202</v>
      </c>
      <c r="L19" s="39">
        <v>1328</v>
      </c>
      <c r="M19" s="30">
        <v>1328</v>
      </c>
      <c r="N19" s="69">
        <f t="shared" si="3"/>
        <v>1530</v>
      </c>
      <c r="R19" s="68">
        <v>0</v>
      </c>
    </row>
    <row r="20" spans="1:18" ht="15">
      <c r="A20" s="34" t="s">
        <v>4</v>
      </c>
      <c r="B20" s="16" t="s">
        <v>386</v>
      </c>
      <c r="C20" s="35"/>
      <c r="D20" s="85">
        <f>30</f>
        <v>30</v>
      </c>
      <c r="E20" s="36"/>
      <c r="F20" s="85"/>
      <c r="G20" s="36"/>
      <c r="H20" s="85"/>
      <c r="I20" s="36"/>
      <c r="J20" s="85"/>
      <c r="K20" s="31">
        <f t="shared" si="2"/>
        <v>30</v>
      </c>
      <c r="L20" s="39">
        <v>4564.988</v>
      </c>
      <c r="M20" s="30">
        <v>4564.988</v>
      </c>
      <c r="N20" s="69">
        <f t="shared" si="3"/>
        <v>4594.988</v>
      </c>
      <c r="R20" s="68">
        <v>0</v>
      </c>
    </row>
    <row r="21" spans="1:18" ht="15">
      <c r="A21" s="34" t="s">
        <v>212</v>
      </c>
      <c r="B21" s="16" t="s">
        <v>387</v>
      </c>
      <c r="C21" s="40"/>
      <c r="D21" s="85"/>
      <c r="E21" s="36"/>
      <c r="F21" s="85"/>
      <c r="G21" s="36"/>
      <c r="H21" s="85">
        <v>285</v>
      </c>
      <c r="I21" s="36"/>
      <c r="J21" s="85"/>
      <c r="K21" s="31">
        <f t="shared" si="2"/>
        <v>285</v>
      </c>
      <c r="L21" s="39">
        <v>11032</v>
      </c>
      <c r="M21" s="30">
        <v>11032</v>
      </c>
      <c r="N21" s="69">
        <f t="shared" si="3"/>
        <v>11317</v>
      </c>
      <c r="R21" s="68">
        <v>0</v>
      </c>
    </row>
    <row r="22" spans="1:18" ht="15">
      <c r="A22" s="34" t="s">
        <v>5</v>
      </c>
      <c r="B22" s="16" t="s">
        <v>388</v>
      </c>
      <c r="C22" s="35"/>
      <c r="D22" s="85"/>
      <c r="E22" s="36"/>
      <c r="F22" s="85"/>
      <c r="G22" s="36">
        <f>1000</f>
        <v>1000</v>
      </c>
      <c r="H22" s="85"/>
      <c r="I22" s="36"/>
      <c r="J22" s="85"/>
      <c r="K22" s="31">
        <f t="shared" si="2"/>
        <v>1000</v>
      </c>
      <c r="L22" s="39">
        <v>5745</v>
      </c>
      <c r="M22" s="30">
        <v>5825</v>
      </c>
      <c r="N22" s="69">
        <f t="shared" si="3"/>
        <v>6825</v>
      </c>
      <c r="R22" s="68">
        <v>80</v>
      </c>
    </row>
    <row r="23" spans="1:18" ht="15">
      <c r="A23" s="34" t="s">
        <v>6</v>
      </c>
      <c r="B23" s="16" t="s">
        <v>389</v>
      </c>
      <c r="C23" s="35"/>
      <c r="D23" s="85"/>
      <c r="E23" s="36"/>
      <c r="F23" s="85"/>
      <c r="G23" s="36"/>
      <c r="H23" s="85"/>
      <c r="I23" s="36">
        <f>77</f>
        <v>77</v>
      </c>
      <c r="J23" s="85"/>
      <c r="K23" s="31">
        <f t="shared" si="2"/>
        <v>77</v>
      </c>
      <c r="L23" s="39">
        <v>5641.145</v>
      </c>
      <c r="M23" s="30">
        <v>5641.145</v>
      </c>
      <c r="N23" s="69">
        <f t="shared" si="3"/>
        <v>5718.145</v>
      </c>
      <c r="R23" s="68">
        <v>0</v>
      </c>
    </row>
    <row r="24" spans="1:18" ht="15">
      <c r="A24" s="34" t="s">
        <v>213</v>
      </c>
      <c r="B24" s="16" t="s">
        <v>390</v>
      </c>
      <c r="C24" s="35"/>
      <c r="D24" s="85"/>
      <c r="E24" s="36"/>
      <c r="F24" s="85"/>
      <c r="G24" s="36"/>
      <c r="H24" s="85"/>
      <c r="I24" s="36">
        <f>150</f>
        <v>150</v>
      </c>
      <c r="J24" s="85"/>
      <c r="K24" s="31">
        <f t="shared" si="2"/>
        <v>150</v>
      </c>
      <c r="L24" s="39">
        <v>2012</v>
      </c>
      <c r="M24" s="30">
        <v>2012</v>
      </c>
      <c r="N24" s="69">
        <f t="shared" si="3"/>
        <v>2162</v>
      </c>
      <c r="R24" s="68">
        <v>0</v>
      </c>
    </row>
    <row r="25" spans="1:18" ht="15">
      <c r="A25" s="34" t="s">
        <v>201</v>
      </c>
      <c r="B25" s="17" t="s">
        <v>391</v>
      </c>
      <c r="C25" s="35">
        <f>423</f>
        <v>423</v>
      </c>
      <c r="D25" s="85"/>
      <c r="E25" s="37"/>
      <c r="F25" s="85"/>
      <c r="G25" s="36"/>
      <c r="H25" s="85"/>
      <c r="I25" s="36"/>
      <c r="J25" s="85">
        <f>20</f>
        <v>20</v>
      </c>
      <c r="K25" s="31">
        <f t="shared" si="2"/>
        <v>443</v>
      </c>
      <c r="L25" s="39">
        <v>3027.35</v>
      </c>
      <c r="M25" s="30">
        <v>3271.35</v>
      </c>
      <c r="N25" s="69">
        <f t="shared" si="3"/>
        <v>3714.35</v>
      </c>
      <c r="R25" s="68">
        <v>244</v>
      </c>
    </row>
    <row r="26" spans="1:18" ht="15">
      <c r="A26" s="34" t="s">
        <v>214</v>
      </c>
      <c r="B26" s="16" t="s">
        <v>392</v>
      </c>
      <c r="C26" s="35"/>
      <c r="D26" s="85"/>
      <c r="E26" s="36"/>
      <c r="F26" s="85"/>
      <c r="G26" s="36"/>
      <c r="H26" s="85"/>
      <c r="I26" s="36"/>
      <c r="J26" s="85"/>
      <c r="K26" s="31">
        <f t="shared" si="2"/>
        <v>0</v>
      </c>
      <c r="L26" s="39">
        <v>471</v>
      </c>
      <c r="M26" s="30">
        <v>471</v>
      </c>
      <c r="N26" s="69">
        <f t="shared" si="3"/>
        <v>471</v>
      </c>
      <c r="R26" s="68">
        <v>0</v>
      </c>
    </row>
    <row r="27" spans="1:18" ht="15">
      <c r="A27" s="34" t="s">
        <v>7</v>
      </c>
      <c r="B27" s="16" t="s">
        <v>393</v>
      </c>
      <c r="C27" s="35"/>
      <c r="D27" s="85"/>
      <c r="E27" s="36">
        <f>154</f>
        <v>154</v>
      </c>
      <c r="F27" s="85"/>
      <c r="G27" s="36"/>
      <c r="H27" s="85"/>
      <c r="I27" s="36"/>
      <c r="J27" s="85"/>
      <c r="K27" s="31">
        <f t="shared" si="2"/>
        <v>154</v>
      </c>
      <c r="L27" s="39">
        <v>2343</v>
      </c>
      <c r="M27" s="30">
        <v>2343</v>
      </c>
      <c r="N27" s="69">
        <f t="shared" si="3"/>
        <v>2497</v>
      </c>
      <c r="R27" s="68">
        <v>0</v>
      </c>
    </row>
    <row r="28" spans="1:18" ht="15">
      <c r="A28" s="34" t="s">
        <v>8</v>
      </c>
      <c r="B28" s="16" t="s">
        <v>394</v>
      </c>
      <c r="C28" s="35"/>
      <c r="D28" s="85"/>
      <c r="E28" s="36"/>
      <c r="F28" s="85"/>
      <c r="G28" s="36">
        <f>6</f>
        <v>6</v>
      </c>
      <c r="H28" s="85"/>
      <c r="I28" s="36"/>
      <c r="J28" s="85">
        <f>271</f>
        <v>271</v>
      </c>
      <c r="K28" s="31">
        <f t="shared" si="2"/>
        <v>277</v>
      </c>
      <c r="L28" s="39">
        <v>3827.96</v>
      </c>
      <c r="M28" s="30">
        <v>3837.96</v>
      </c>
      <c r="N28" s="69">
        <f t="shared" si="3"/>
        <v>4114.96</v>
      </c>
      <c r="R28" s="68">
        <v>10</v>
      </c>
    </row>
    <row r="29" spans="1:18" ht="15">
      <c r="A29" s="34" t="s">
        <v>215</v>
      </c>
      <c r="B29" s="16" t="s">
        <v>395</v>
      </c>
      <c r="C29" s="35"/>
      <c r="D29" s="85"/>
      <c r="E29" s="36"/>
      <c r="F29" s="85"/>
      <c r="G29" s="36"/>
      <c r="H29" s="85"/>
      <c r="I29" s="36"/>
      <c r="J29" s="85"/>
      <c r="K29" s="31">
        <f t="shared" si="2"/>
        <v>0</v>
      </c>
      <c r="L29" s="39">
        <v>4082</v>
      </c>
      <c r="M29" s="30">
        <v>4082</v>
      </c>
      <c r="N29" s="69">
        <f t="shared" si="3"/>
        <v>4082</v>
      </c>
      <c r="R29" s="68">
        <v>0</v>
      </c>
    </row>
    <row r="30" spans="1:18" ht="15">
      <c r="A30" s="34" t="s">
        <v>9</v>
      </c>
      <c r="B30" s="16" t="s">
        <v>396</v>
      </c>
      <c r="C30" s="35"/>
      <c r="D30" s="85"/>
      <c r="E30" s="36"/>
      <c r="F30" s="85"/>
      <c r="G30" s="36">
        <f>22</f>
        <v>22</v>
      </c>
      <c r="H30" s="85"/>
      <c r="I30" s="36"/>
      <c r="J30" s="85"/>
      <c r="K30" s="31">
        <f t="shared" si="2"/>
        <v>22</v>
      </c>
      <c r="L30" s="39">
        <v>7665.05</v>
      </c>
      <c r="M30" s="30">
        <v>7728.05</v>
      </c>
      <c r="N30" s="69">
        <f t="shared" si="3"/>
        <v>7750.05</v>
      </c>
      <c r="R30" s="68">
        <v>63</v>
      </c>
    </row>
    <row r="31" spans="1:18" ht="15">
      <c r="A31" s="34" t="s">
        <v>185</v>
      </c>
      <c r="B31" s="16" t="s">
        <v>397</v>
      </c>
      <c r="C31" s="35"/>
      <c r="D31" s="85"/>
      <c r="E31" s="36"/>
      <c r="F31" s="85"/>
      <c r="G31" s="36"/>
      <c r="H31" s="85"/>
      <c r="I31" s="36"/>
      <c r="J31" s="85"/>
      <c r="K31" s="31">
        <f t="shared" si="2"/>
        <v>0</v>
      </c>
      <c r="L31" s="39">
        <v>1658</v>
      </c>
      <c r="M31" s="30">
        <v>1658</v>
      </c>
      <c r="N31" s="69">
        <f t="shared" si="3"/>
        <v>1658</v>
      </c>
      <c r="R31" s="68">
        <v>0</v>
      </c>
    </row>
    <row r="32" spans="1:18" ht="15">
      <c r="A32" s="34" t="s">
        <v>10</v>
      </c>
      <c r="B32" s="16" t="s">
        <v>398</v>
      </c>
      <c r="C32" s="35"/>
      <c r="D32" s="85"/>
      <c r="E32" s="36">
        <f>44</f>
        <v>44</v>
      </c>
      <c r="F32" s="85"/>
      <c r="G32" s="36">
        <f>110+189</f>
        <v>299</v>
      </c>
      <c r="H32" s="85"/>
      <c r="I32" s="36">
        <f>131</f>
        <v>131</v>
      </c>
      <c r="J32" s="85"/>
      <c r="K32" s="31">
        <f t="shared" si="2"/>
        <v>474</v>
      </c>
      <c r="L32" s="39">
        <v>4296.545</v>
      </c>
      <c r="M32" s="30">
        <v>5030.545</v>
      </c>
      <c r="N32" s="69">
        <f t="shared" si="3"/>
        <v>5504.545</v>
      </c>
      <c r="R32" s="68">
        <v>734</v>
      </c>
    </row>
    <row r="33" spans="1:18" ht="15">
      <c r="A33" s="34" t="s">
        <v>186</v>
      </c>
      <c r="B33" s="16" t="s">
        <v>399</v>
      </c>
      <c r="C33" s="35"/>
      <c r="D33" s="85"/>
      <c r="E33" s="36"/>
      <c r="F33" s="85"/>
      <c r="G33" s="36"/>
      <c r="H33" s="85"/>
      <c r="I33" s="36"/>
      <c r="J33" s="85"/>
      <c r="K33" s="31">
        <f t="shared" si="2"/>
        <v>0</v>
      </c>
      <c r="L33" s="39">
        <v>6146.93</v>
      </c>
      <c r="M33" s="30">
        <v>6146.93</v>
      </c>
      <c r="N33" s="69">
        <f t="shared" si="3"/>
        <v>6146.93</v>
      </c>
      <c r="R33" s="68">
        <v>0</v>
      </c>
    </row>
    <row r="34" spans="1:18" ht="15">
      <c r="A34" s="34" t="s">
        <v>187</v>
      </c>
      <c r="B34" s="16" t="s">
        <v>400</v>
      </c>
      <c r="C34" s="35"/>
      <c r="D34" s="85"/>
      <c r="E34" s="36"/>
      <c r="F34" s="85"/>
      <c r="G34" s="36"/>
      <c r="H34" s="85">
        <v>285</v>
      </c>
      <c r="I34" s="36"/>
      <c r="J34" s="85"/>
      <c r="K34" s="31">
        <f t="shared" si="2"/>
        <v>285</v>
      </c>
      <c r="L34" s="39">
        <v>3495</v>
      </c>
      <c r="M34" s="30">
        <v>3495</v>
      </c>
      <c r="N34" s="69">
        <f t="shared" si="3"/>
        <v>3780</v>
      </c>
      <c r="R34" s="68">
        <v>0</v>
      </c>
    </row>
    <row r="35" spans="1:18" ht="15">
      <c r="A35" s="34" t="s">
        <v>11</v>
      </c>
      <c r="B35" s="16" t="s">
        <v>401</v>
      </c>
      <c r="C35" s="35"/>
      <c r="D35" s="85"/>
      <c r="E35" s="37"/>
      <c r="F35" s="85"/>
      <c r="G35" s="36"/>
      <c r="H35" s="85">
        <v>285</v>
      </c>
      <c r="I35" s="37"/>
      <c r="J35" s="85"/>
      <c r="K35" s="31">
        <f t="shared" si="2"/>
        <v>285</v>
      </c>
      <c r="L35" s="39">
        <v>2427</v>
      </c>
      <c r="M35" s="30">
        <v>2427</v>
      </c>
      <c r="N35" s="69">
        <f t="shared" si="3"/>
        <v>2712</v>
      </c>
      <c r="R35" s="68">
        <v>0</v>
      </c>
    </row>
    <row r="36" spans="1:18" ht="15">
      <c r="A36" s="34" t="s">
        <v>12</v>
      </c>
      <c r="B36" s="16" t="s">
        <v>402</v>
      </c>
      <c r="C36" s="35"/>
      <c r="D36" s="85"/>
      <c r="E36" s="36"/>
      <c r="F36" s="85"/>
      <c r="G36" s="36"/>
      <c r="H36" s="85"/>
      <c r="I36" s="36"/>
      <c r="J36" s="85">
        <f>10</f>
        <v>10</v>
      </c>
      <c r="K36" s="31">
        <f t="shared" si="2"/>
        <v>10</v>
      </c>
      <c r="L36" s="39">
        <v>3325.275</v>
      </c>
      <c r="M36" s="30">
        <v>3340.275</v>
      </c>
      <c r="N36" s="69">
        <f t="shared" si="3"/>
        <v>3350.275</v>
      </c>
      <c r="R36" s="68">
        <v>15</v>
      </c>
    </row>
    <row r="37" spans="1:18" ht="15">
      <c r="A37" s="34" t="s">
        <v>216</v>
      </c>
      <c r="B37" s="16" t="s">
        <v>403</v>
      </c>
      <c r="C37" s="35"/>
      <c r="D37" s="85"/>
      <c r="E37" s="37"/>
      <c r="F37" s="85"/>
      <c r="G37" s="36">
        <f>250</f>
        <v>250</v>
      </c>
      <c r="H37" s="85"/>
      <c r="I37" s="36"/>
      <c r="J37" s="85"/>
      <c r="K37" s="31">
        <f t="shared" si="2"/>
        <v>250</v>
      </c>
      <c r="L37" s="39">
        <v>2272</v>
      </c>
      <c r="M37" s="30">
        <v>2507</v>
      </c>
      <c r="N37" s="69">
        <f t="shared" si="3"/>
        <v>2757</v>
      </c>
      <c r="R37" s="68">
        <v>235</v>
      </c>
    </row>
    <row r="38" spans="1:18" ht="15">
      <c r="A38" s="34" t="s">
        <v>13</v>
      </c>
      <c r="B38" s="16" t="s">
        <v>404</v>
      </c>
      <c r="C38" s="35"/>
      <c r="D38" s="85"/>
      <c r="E38" s="36"/>
      <c r="F38" s="85"/>
      <c r="G38" s="36"/>
      <c r="H38" s="85">
        <v>285</v>
      </c>
      <c r="I38" s="36"/>
      <c r="J38" s="85"/>
      <c r="K38" s="31">
        <f t="shared" si="2"/>
        <v>285</v>
      </c>
      <c r="L38" s="39">
        <v>2984.31</v>
      </c>
      <c r="M38" s="30">
        <v>2984.31</v>
      </c>
      <c r="N38" s="69">
        <f t="shared" si="3"/>
        <v>3269.31</v>
      </c>
      <c r="R38" s="68">
        <v>0</v>
      </c>
    </row>
    <row r="39" spans="1:18" ht="15">
      <c r="A39" s="34" t="s">
        <v>14</v>
      </c>
      <c r="B39" s="16" t="s">
        <v>405</v>
      </c>
      <c r="C39" s="40"/>
      <c r="D39" s="85"/>
      <c r="E39" s="36"/>
      <c r="F39" s="85"/>
      <c r="G39" s="36"/>
      <c r="H39" s="85">
        <v>285</v>
      </c>
      <c r="I39" s="36"/>
      <c r="J39" s="85"/>
      <c r="K39" s="31">
        <f t="shared" si="2"/>
        <v>285</v>
      </c>
      <c r="L39" s="39">
        <v>4457</v>
      </c>
      <c r="M39" s="30">
        <v>7338</v>
      </c>
      <c r="N39" s="69">
        <f t="shared" si="3"/>
        <v>7623</v>
      </c>
      <c r="R39" s="68">
        <v>2881</v>
      </c>
    </row>
    <row r="40" spans="1:18" ht="15">
      <c r="A40" s="34" t="s">
        <v>217</v>
      </c>
      <c r="B40" s="16" t="s">
        <v>406</v>
      </c>
      <c r="C40" s="40"/>
      <c r="D40" s="85"/>
      <c r="E40" s="36"/>
      <c r="F40" s="85"/>
      <c r="G40" s="36"/>
      <c r="H40" s="85"/>
      <c r="I40" s="36"/>
      <c r="J40" s="85"/>
      <c r="K40" s="31">
        <f t="shared" si="2"/>
        <v>0</v>
      </c>
      <c r="L40" s="39">
        <v>7527</v>
      </c>
      <c r="M40" s="30">
        <v>7527</v>
      </c>
      <c r="N40" s="69">
        <f t="shared" si="3"/>
        <v>7527</v>
      </c>
      <c r="R40" s="68">
        <v>0</v>
      </c>
    </row>
    <row r="41" spans="1:18" ht="15">
      <c r="A41" s="34" t="s">
        <v>15</v>
      </c>
      <c r="B41" s="16" t="s">
        <v>407</v>
      </c>
      <c r="C41" s="35"/>
      <c r="D41" s="85">
        <f>250</f>
        <v>250</v>
      </c>
      <c r="E41" s="37"/>
      <c r="F41" s="85"/>
      <c r="G41" s="36">
        <f>3</f>
        <v>3</v>
      </c>
      <c r="H41" s="85">
        <v>350</v>
      </c>
      <c r="I41" s="37"/>
      <c r="J41" s="85"/>
      <c r="K41" s="31">
        <f t="shared" si="2"/>
        <v>603</v>
      </c>
      <c r="L41" s="39">
        <v>4303.5</v>
      </c>
      <c r="M41" s="30">
        <v>4503.5</v>
      </c>
      <c r="N41" s="69">
        <f t="shared" si="3"/>
        <v>5106.5</v>
      </c>
      <c r="R41" s="68">
        <v>200</v>
      </c>
    </row>
    <row r="42" spans="1:18" ht="15">
      <c r="A42" s="34" t="s">
        <v>218</v>
      </c>
      <c r="B42" s="16" t="s">
        <v>408</v>
      </c>
      <c r="C42" s="35"/>
      <c r="D42" s="85"/>
      <c r="E42" s="36"/>
      <c r="F42" s="85"/>
      <c r="G42" s="36"/>
      <c r="H42" s="85"/>
      <c r="I42" s="36"/>
      <c r="J42" s="85"/>
      <c r="K42" s="31">
        <f t="shared" si="2"/>
        <v>0</v>
      </c>
      <c r="L42" s="39">
        <v>1611</v>
      </c>
      <c r="M42" s="30">
        <v>1611</v>
      </c>
      <c r="N42" s="69">
        <f t="shared" si="3"/>
        <v>1611</v>
      </c>
      <c r="R42" s="68">
        <v>0</v>
      </c>
    </row>
    <row r="43" spans="1:18" ht="15">
      <c r="A43" s="34" t="s">
        <v>16</v>
      </c>
      <c r="B43" s="16" t="s">
        <v>409</v>
      </c>
      <c r="C43" s="35"/>
      <c r="D43" s="83"/>
      <c r="E43" s="37"/>
      <c r="F43" s="83"/>
      <c r="G43" s="36"/>
      <c r="H43" s="83"/>
      <c r="I43" s="36"/>
      <c r="J43" s="83"/>
      <c r="K43" s="31">
        <f t="shared" si="2"/>
        <v>0</v>
      </c>
      <c r="L43" s="39">
        <v>2759.6</v>
      </c>
      <c r="M43" s="30">
        <v>2759.6</v>
      </c>
      <c r="N43" s="69">
        <f t="shared" si="3"/>
        <v>2759.6</v>
      </c>
      <c r="R43" s="68">
        <v>0</v>
      </c>
    </row>
    <row r="44" spans="1:18" ht="15">
      <c r="A44" s="34" t="s">
        <v>17</v>
      </c>
      <c r="B44" s="16" t="s">
        <v>410</v>
      </c>
      <c r="C44" s="35"/>
      <c r="D44" s="85">
        <f>867</f>
        <v>867</v>
      </c>
      <c r="E44" s="37"/>
      <c r="F44" s="85">
        <f>1650</f>
        <v>1650</v>
      </c>
      <c r="G44" s="37">
        <f>4</f>
        <v>4</v>
      </c>
      <c r="H44" s="85"/>
      <c r="I44" s="36">
        <f>200</f>
        <v>200</v>
      </c>
      <c r="J44" s="85"/>
      <c r="K44" s="31">
        <f t="shared" si="2"/>
        <v>2721</v>
      </c>
      <c r="L44" s="39">
        <v>24907</v>
      </c>
      <c r="M44" s="30">
        <v>26237</v>
      </c>
      <c r="N44" s="69">
        <f t="shared" si="3"/>
        <v>28958</v>
      </c>
      <c r="R44" s="68">
        <v>1330</v>
      </c>
    </row>
    <row r="45" spans="1:18" ht="15">
      <c r="A45" s="34" t="s">
        <v>219</v>
      </c>
      <c r="B45" s="16" t="s">
        <v>411</v>
      </c>
      <c r="C45" s="40"/>
      <c r="D45" s="85"/>
      <c r="E45" s="36"/>
      <c r="F45" s="85"/>
      <c r="G45" s="36"/>
      <c r="H45" s="85"/>
      <c r="I45" s="37"/>
      <c r="J45" s="85"/>
      <c r="K45" s="31">
        <f t="shared" si="2"/>
        <v>0</v>
      </c>
      <c r="L45" s="39">
        <v>4618</v>
      </c>
      <c r="M45" s="30">
        <v>4618</v>
      </c>
      <c r="N45" s="69">
        <f t="shared" si="3"/>
        <v>4618</v>
      </c>
      <c r="R45" s="68">
        <v>0</v>
      </c>
    </row>
    <row r="46" spans="1:18" ht="15">
      <c r="A46" s="34" t="s">
        <v>220</v>
      </c>
      <c r="B46" s="16" t="s">
        <v>412</v>
      </c>
      <c r="C46" s="35"/>
      <c r="D46" s="85"/>
      <c r="E46" s="36"/>
      <c r="F46" s="85"/>
      <c r="G46" s="36"/>
      <c r="H46" s="85">
        <v>1665</v>
      </c>
      <c r="I46" s="37"/>
      <c r="J46" s="85"/>
      <c r="K46" s="31">
        <f t="shared" si="2"/>
        <v>1665</v>
      </c>
      <c r="L46" s="39">
        <v>3252</v>
      </c>
      <c r="M46" s="30">
        <v>3312</v>
      </c>
      <c r="N46" s="69">
        <f t="shared" si="3"/>
        <v>4977</v>
      </c>
      <c r="R46" s="68">
        <v>60</v>
      </c>
    </row>
    <row r="47" spans="1:18" ht="15">
      <c r="A47" s="34" t="s">
        <v>18</v>
      </c>
      <c r="B47" s="16" t="s">
        <v>413</v>
      </c>
      <c r="C47" s="35"/>
      <c r="D47" s="83">
        <f>21</f>
        <v>21</v>
      </c>
      <c r="E47" s="36"/>
      <c r="F47" s="83"/>
      <c r="G47" s="36"/>
      <c r="H47" s="83">
        <v>200</v>
      </c>
      <c r="I47" s="36">
        <f>59</f>
        <v>59</v>
      </c>
      <c r="J47" s="83">
        <f>44</f>
        <v>44</v>
      </c>
      <c r="K47" s="31">
        <f>SUM(C47:J47)</f>
        <v>324</v>
      </c>
      <c r="L47" s="39">
        <v>3192</v>
      </c>
      <c r="M47" s="30">
        <v>3750</v>
      </c>
      <c r="N47" s="69">
        <f t="shared" si="3"/>
        <v>4074</v>
      </c>
      <c r="R47" s="68">
        <v>558</v>
      </c>
    </row>
    <row r="48" spans="1:18" ht="15">
      <c r="A48" s="34" t="s">
        <v>188</v>
      </c>
      <c r="B48" s="16" t="s">
        <v>414</v>
      </c>
      <c r="C48" s="35">
        <v>578</v>
      </c>
      <c r="D48" s="85"/>
      <c r="E48" s="37"/>
      <c r="F48" s="85"/>
      <c r="G48" s="36"/>
      <c r="H48" s="85">
        <v>100</v>
      </c>
      <c r="I48" s="36"/>
      <c r="J48" s="85">
        <f>25</f>
        <v>25</v>
      </c>
      <c r="K48" s="31">
        <f t="shared" si="2"/>
        <v>703</v>
      </c>
      <c r="L48" s="39">
        <v>3664.424</v>
      </c>
      <c r="M48" s="30">
        <v>7540.424</v>
      </c>
      <c r="N48" s="69">
        <f t="shared" si="3"/>
        <v>8243.423999999999</v>
      </c>
      <c r="R48" s="68">
        <v>3876</v>
      </c>
    </row>
    <row r="49" spans="1:18" ht="15">
      <c r="A49" s="34" t="s">
        <v>19</v>
      </c>
      <c r="B49" s="16" t="s">
        <v>415</v>
      </c>
      <c r="C49" s="35"/>
      <c r="D49" s="85"/>
      <c r="E49" s="36">
        <f>250</f>
        <v>250</v>
      </c>
      <c r="F49" s="85"/>
      <c r="G49" s="36"/>
      <c r="H49" s="85">
        <v>96</v>
      </c>
      <c r="I49" s="37"/>
      <c r="J49" s="85"/>
      <c r="K49" s="31">
        <f t="shared" si="2"/>
        <v>346</v>
      </c>
      <c r="L49" s="39">
        <v>1100</v>
      </c>
      <c r="M49" s="30">
        <v>1160</v>
      </c>
      <c r="N49" s="69">
        <f t="shared" si="3"/>
        <v>1506</v>
      </c>
      <c r="R49" s="68">
        <v>60</v>
      </c>
    </row>
    <row r="50" spans="1:18" ht="15">
      <c r="A50" s="34" t="s">
        <v>141</v>
      </c>
      <c r="B50" s="16" t="s">
        <v>416</v>
      </c>
      <c r="C50" s="35"/>
      <c r="D50" s="83">
        <f>194+40</f>
        <v>234</v>
      </c>
      <c r="E50" s="36"/>
      <c r="F50" s="83"/>
      <c r="G50" s="36">
        <f>4</f>
        <v>4</v>
      </c>
      <c r="H50" s="83"/>
      <c r="I50" s="36"/>
      <c r="J50" s="83">
        <f>4524</f>
        <v>4524</v>
      </c>
      <c r="K50" s="31">
        <f t="shared" si="2"/>
        <v>4762</v>
      </c>
      <c r="L50" s="39">
        <v>6505</v>
      </c>
      <c r="M50" s="30">
        <v>7003</v>
      </c>
      <c r="N50" s="69">
        <f t="shared" si="3"/>
        <v>11765</v>
      </c>
      <c r="R50" s="68">
        <v>498</v>
      </c>
    </row>
    <row r="51" spans="1:18" ht="15">
      <c r="A51" s="34" t="s">
        <v>221</v>
      </c>
      <c r="B51" s="16" t="s">
        <v>417</v>
      </c>
      <c r="C51" s="35"/>
      <c r="D51" s="85"/>
      <c r="E51" s="36"/>
      <c r="F51" s="85"/>
      <c r="G51" s="36"/>
      <c r="H51" s="85"/>
      <c r="I51" s="36"/>
      <c r="J51" s="85"/>
      <c r="K51" s="31">
        <f t="shared" si="2"/>
        <v>0</v>
      </c>
      <c r="L51" s="39">
        <v>1886.32</v>
      </c>
      <c r="M51" s="30">
        <v>1886.32</v>
      </c>
      <c r="N51" s="69">
        <f t="shared" si="3"/>
        <v>1886.32</v>
      </c>
      <c r="R51" s="68">
        <v>0</v>
      </c>
    </row>
    <row r="52" spans="1:18" ht="15">
      <c r="A52" s="34" t="s">
        <v>222</v>
      </c>
      <c r="B52" s="16" t="s">
        <v>418</v>
      </c>
      <c r="C52" s="40"/>
      <c r="D52" s="85"/>
      <c r="E52" s="36"/>
      <c r="F52" s="85"/>
      <c r="G52" s="36"/>
      <c r="H52" s="85"/>
      <c r="I52" s="36"/>
      <c r="J52" s="85"/>
      <c r="K52" s="31">
        <f t="shared" si="2"/>
        <v>0</v>
      </c>
      <c r="L52" s="39">
        <v>2426</v>
      </c>
      <c r="M52" s="30">
        <v>2426</v>
      </c>
      <c r="N52" s="69">
        <f t="shared" si="3"/>
        <v>2426</v>
      </c>
      <c r="R52" s="68">
        <v>0</v>
      </c>
    </row>
    <row r="53" spans="1:18" ht="15">
      <c r="A53" s="34" t="s">
        <v>20</v>
      </c>
      <c r="B53" s="16" t="s">
        <v>419</v>
      </c>
      <c r="C53" s="35"/>
      <c r="D53" s="83">
        <f>43+50</f>
        <v>93</v>
      </c>
      <c r="E53" s="37">
        <f>63</f>
        <v>63</v>
      </c>
      <c r="F53" s="83">
        <f>1700</f>
        <v>1700</v>
      </c>
      <c r="G53" s="37"/>
      <c r="H53" s="83"/>
      <c r="I53" s="36"/>
      <c r="J53" s="83">
        <f>15</f>
        <v>15</v>
      </c>
      <c r="K53" s="31">
        <f>SUM(C53:J53)</f>
        <v>1871</v>
      </c>
      <c r="L53" s="39">
        <v>25215.00723</v>
      </c>
      <c r="M53" s="30">
        <v>26454.00723</v>
      </c>
      <c r="N53" s="69">
        <f t="shared" si="3"/>
        <v>28325.00723</v>
      </c>
      <c r="R53" s="68">
        <v>1239</v>
      </c>
    </row>
    <row r="54" spans="1:18" ht="15">
      <c r="A54" s="34" t="s">
        <v>223</v>
      </c>
      <c r="B54" s="16" t="s">
        <v>420</v>
      </c>
      <c r="C54" s="35"/>
      <c r="D54" s="85"/>
      <c r="E54" s="36"/>
      <c r="F54" s="85"/>
      <c r="G54" s="36"/>
      <c r="H54" s="85"/>
      <c r="I54" s="37">
        <f>300+30</f>
        <v>330</v>
      </c>
      <c r="J54" s="85">
        <f>1332</f>
        <v>1332</v>
      </c>
      <c r="K54" s="31">
        <f t="shared" si="2"/>
        <v>1662</v>
      </c>
      <c r="L54" s="39">
        <v>2721</v>
      </c>
      <c r="M54" s="30">
        <v>2721</v>
      </c>
      <c r="N54" s="69">
        <f t="shared" si="3"/>
        <v>4383</v>
      </c>
      <c r="R54" s="68">
        <v>0</v>
      </c>
    </row>
    <row r="55" spans="1:18" ht="15">
      <c r="A55" s="34" t="s">
        <v>224</v>
      </c>
      <c r="B55" s="16">
        <v>1054</v>
      </c>
      <c r="C55" s="35"/>
      <c r="D55" s="85"/>
      <c r="E55" s="37">
        <f>75</f>
        <v>75</v>
      </c>
      <c r="F55" s="85"/>
      <c r="G55" s="36"/>
      <c r="H55" s="85"/>
      <c r="I55" s="37"/>
      <c r="J55" s="85">
        <f>133</f>
        <v>133</v>
      </c>
      <c r="K55" s="31">
        <f t="shared" si="2"/>
        <v>208</v>
      </c>
      <c r="L55" s="39">
        <v>11643</v>
      </c>
      <c r="M55" s="30">
        <v>11866</v>
      </c>
      <c r="N55" s="69">
        <f t="shared" si="3"/>
        <v>12074</v>
      </c>
      <c r="R55" s="68">
        <v>223</v>
      </c>
    </row>
    <row r="56" spans="1:18" ht="15">
      <c r="A56" s="34" t="s">
        <v>225</v>
      </c>
      <c r="B56" s="16">
        <v>1055</v>
      </c>
      <c r="C56" s="40"/>
      <c r="D56" s="85"/>
      <c r="E56" s="37"/>
      <c r="F56" s="85"/>
      <c r="G56" s="36"/>
      <c r="H56" s="85"/>
      <c r="I56" s="36">
        <f>150</f>
        <v>150</v>
      </c>
      <c r="J56" s="85">
        <f>10</f>
        <v>10</v>
      </c>
      <c r="K56" s="31">
        <f t="shared" si="2"/>
        <v>160</v>
      </c>
      <c r="L56" s="39">
        <v>7633</v>
      </c>
      <c r="M56" s="30">
        <v>7633</v>
      </c>
      <c r="N56" s="69">
        <f t="shared" si="3"/>
        <v>7793</v>
      </c>
      <c r="R56" s="68">
        <v>0</v>
      </c>
    </row>
    <row r="57" spans="1:18" ht="15">
      <c r="A57" s="34" t="s">
        <v>226</v>
      </c>
      <c r="B57" s="16">
        <v>1056</v>
      </c>
      <c r="C57" s="35">
        <v>838</v>
      </c>
      <c r="D57" s="85"/>
      <c r="E57" s="36"/>
      <c r="F57" s="85"/>
      <c r="G57" s="36"/>
      <c r="H57" s="85">
        <v>285</v>
      </c>
      <c r="I57" s="36"/>
      <c r="J57" s="85"/>
      <c r="K57" s="31">
        <f t="shared" si="2"/>
        <v>1123</v>
      </c>
      <c r="L57" s="39">
        <v>2154</v>
      </c>
      <c r="M57" s="30">
        <v>2154</v>
      </c>
      <c r="N57" s="69">
        <f t="shared" si="3"/>
        <v>3277</v>
      </c>
      <c r="R57" s="68">
        <v>0</v>
      </c>
    </row>
    <row r="58" spans="1:18" ht="15">
      <c r="A58" s="34" t="s">
        <v>21</v>
      </c>
      <c r="B58" s="18">
        <v>1057</v>
      </c>
      <c r="C58" s="41"/>
      <c r="D58" s="86">
        <f>70+90</f>
        <v>160</v>
      </c>
      <c r="E58" s="42"/>
      <c r="F58" s="86"/>
      <c r="G58" s="42"/>
      <c r="H58" s="86"/>
      <c r="I58" s="42"/>
      <c r="J58" s="86"/>
      <c r="K58" s="31">
        <f>SUM(C58:J58)</f>
        <v>160</v>
      </c>
      <c r="L58" s="39">
        <v>2510.1099999999997</v>
      </c>
      <c r="M58" s="30">
        <v>2760.1099999999997</v>
      </c>
      <c r="N58" s="69">
        <f t="shared" si="3"/>
        <v>2920.1099999999997</v>
      </c>
      <c r="R58" s="68">
        <v>250</v>
      </c>
    </row>
    <row r="59" spans="1:44" s="9" customFormat="1" ht="15">
      <c r="A59" s="77" t="s">
        <v>227</v>
      </c>
      <c r="B59" s="79"/>
      <c r="C59" s="76">
        <f>SUM(C60:C103)</f>
        <v>370</v>
      </c>
      <c r="D59" s="38">
        <f aca="true" t="shared" si="4" ref="D59:H59">SUM(D60:D103)</f>
        <v>4189</v>
      </c>
      <c r="E59" s="38">
        <f t="shared" si="4"/>
        <v>1120</v>
      </c>
      <c r="F59" s="38">
        <f t="shared" si="4"/>
        <v>18000</v>
      </c>
      <c r="G59" s="38">
        <f t="shared" si="4"/>
        <v>848</v>
      </c>
      <c r="H59" s="38">
        <f t="shared" si="4"/>
        <v>3101</v>
      </c>
      <c r="I59" s="38">
        <f>SUM(I60:I103)</f>
        <v>4876</v>
      </c>
      <c r="J59" s="38">
        <f>SUM(J60:J103)</f>
        <v>3195</v>
      </c>
      <c r="K59" s="38">
        <f>SUM(K60:K103)</f>
        <v>35699</v>
      </c>
      <c r="L59" s="32">
        <v>497715.804</v>
      </c>
      <c r="M59" s="33">
        <v>544148.804</v>
      </c>
      <c r="N59" s="69">
        <f t="shared" si="3"/>
        <v>579847.804</v>
      </c>
      <c r="O59" s="1"/>
      <c r="P59" s="1"/>
      <c r="Q59" s="1"/>
      <c r="R59" s="68">
        <v>46436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18" ht="15">
      <c r="A60" s="34" t="s">
        <v>22</v>
      </c>
      <c r="B60" s="15">
        <v>2001</v>
      </c>
      <c r="C60" s="35"/>
      <c r="D60" s="85"/>
      <c r="E60" s="37"/>
      <c r="F60" s="85"/>
      <c r="G60" s="36"/>
      <c r="H60" s="85">
        <v>285</v>
      </c>
      <c r="I60" s="36"/>
      <c r="J60" s="85">
        <f>756</f>
        <v>756</v>
      </c>
      <c r="K60" s="31">
        <f aca="true" t="shared" si="5" ref="K60:K103">SUM(C60:J60)</f>
        <v>1041</v>
      </c>
      <c r="L60" s="39">
        <v>3464.499</v>
      </c>
      <c r="M60" s="30">
        <v>3464.499</v>
      </c>
      <c r="N60" s="69">
        <f t="shared" si="3"/>
        <v>4505.499</v>
      </c>
      <c r="R60" s="68">
        <v>0</v>
      </c>
    </row>
    <row r="61" spans="1:18" ht="15">
      <c r="A61" s="34" t="s">
        <v>155</v>
      </c>
      <c r="B61" s="16">
        <v>2002</v>
      </c>
      <c r="C61" s="35"/>
      <c r="D61" s="85">
        <f>160</f>
        <v>160</v>
      </c>
      <c r="E61" s="36"/>
      <c r="F61" s="85"/>
      <c r="G61" s="36"/>
      <c r="H61" s="85">
        <v>285</v>
      </c>
      <c r="I61" s="36"/>
      <c r="J61" s="85"/>
      <c r="K61" s="31">
        <f t="shared" si="5"/>
        <v>445</v>
      </c>
      <c r="L61" s="39">
        <v>12809.955</v>
      </c>
      <c r="M61" s="30">
        <v>12854.955</v>
      </c>
      <c r="N61" s="69">
        <f t="shared" si="3"/>
        <v>13299.955</v>
      </c>
      <c r="R61" s="68">
        <v>45</v>
      </c>
    </row>
    <row r="62" spans="1:18" ht="15">
      <c r="A62" s="34" t="s">
        <v>228</v>
      </c>
      <c r="B62" s="16">
        <v>2003</v>
      </c>
      <c r="C62" s="35"/>
      <c r="D62" s="85"/>
      <c r="E62" s="36"/>
      <c r="F62" s="85"/>
      <c r="G62" s="36"/>
      <c r="H62" s="85"/>
      <c r="I62" s="36">
        <f>143</f>
        <v>143</v>
      </c>
      <c r="J62" s="85"/>
      <c r="K62" s="31">
        <f t="shared" si="5"/>
        <v>143</v>
      </c>
      <c r="L62" s="39">
        <v>6878</v>
      </c>
      <c r="M62" s="30">
        <v>7094</v>
      </c>
      <c r="N62" s="69">
        <f t="shared" si="3"/>
        <v>7237</v>
      </c>
      <c r="R62" s="68">
        <v>216</v>
      </c>
    </row>
    <row r="63" spans="1:18" ht="15">
      <c r="A63" s="34" t="s">
        <v>229</v>
      </c>
      <c r="B63" s="16">
        <v>2004</v>
      </c>
      <c r="C63" s="35"/>
      <c r="D63" s="85"/>
      <c r="E63" s="37"/>
      <c r="F63" s="85"/>
      <c r="G63" s="36">
        <f>7</f>
        <v>7</v>
      </c>
      <c r="H63" s="85"/>
      <c r="I63" s="36">
        <f>1500</f>
        <v>1500</v>
      </c>
      <c r="J63" s="85"/>
      <c r="K63" s="31">
        <f t="shared" si="5"/>
        <v>1507</v>
      </c>
      <c r="L63" s="39">
        <v>2130</v>
      </c>
      <c r="M63" s="30">
        <v>2130</v>
      </c>
      <c r="N63" s="69">
        <f t="shared" si="3"/>
        <v>3637</v>
      </c>
      <c r="R63" s="68">
        <v>0</v>
      </c>
    </row>
    <row r="64" spans="1:18" ht="15">
      <c r="A64" s="34" t="s">
        <v>230</v>
      </c>
      <c r="B64" s="16">
        <v>2005</v>
      </c>
      <c r="C64" s="35"/>
      <c r="D64" s="85"/>
      <c r="E64" s="36"/>
      <c r="F64" s="85"/>
      <c r="G64" s="36"/>
      <c r="H64" s="85"/>
      <c r="I64" s="36"/>
      <c r="J64" s="85"/>
      <c r="K64" s="31">
        <f t="shared" si="5"/>
        <v>0</v>
      </c>
      <c r="L64" s="39">
        <v>886</v>
      </c>
      <c r="M64" s="30">
        <v>886</v>
      </c>
      <c r="N64" s="69">
        <f t="shared" si="3"/>
        <v>886</v>
      </c>
      <c r="R64" s="68">
        <v>0</v>
      </c>
    </row>
    <row r="65" spans="1:18" ht="15">
      <c r="A65" s="34" t="s">
        <v>231</v>
      </c>
      <c r="B65" s="16">
        <v>2006</v>
      </c>
      <c r="C65" s="35"/>
      <c r="D65" s="85"/>
      <c r="E65" s="36"/>
      <c r="F65" s="85"/>
      <c r="G65" s="36"/>
      <c r="H65" s="85"/>
      <c r="I65" s="36"/>
      <c r="J65" s="85"/>
      <c r="K65" s="31">
        <f t="shared" si="5"/>
        <v>0</v>
      </c>
      <c r="L65" s="39">
        <v>420</v>
      </c>
      <c r="M65" s="30">
        <v>420</v>
      </c>
      <c r="N65" s="69">
        <f t="shared" si="3"/>
        <v>420</v>
      </c>
      <c r="R65" s="68">
        <v>0</v>
      </c>
    </row>
    <row r="66" spans="1:18" ht="15">
      <c r="A66" s="34" t="s">
        <v>23</v>
      </c>
      <c r="B66" s="16">
        <v>2007</v>
      </c>
      <c r="C66" s="35"/>
      <c r="D66" s="85"/>
      <c r="E66" s="36"/>
      <c r="F66" s="85"/>
      <c r="G66" s="36"/>
      <c r="H66" s="85"/>
      <c r="I66" s="36"/>
      <c r="J66" s="85"/>
      <c r="K66" s="31">
        <f t="shared" si="5"/>
        <v>0</v>
      </c>
      <c r="L66" s="39">
        <v>2148.58</v>
      </c>
      <c r="M66" s="30">
        <v>2148.58</v>
      </c>
      <c r="N66" s="69">
        <f t="shared" si="3"/>
        <v>2148.58</v>
      </c>
      <c r="R66" s="68">
        <v>0</v>
      </c>
    </row>
    <row r="67" spans="1:18" ht="27">
      <c r="A67" s="34" t="s">
        <v>142</v>
      </c>
      <c r="B67" s="16">
        <v>2008</v>
      </c>
      <c r="C67" s="35"/>
      <c r="D67" s="85"/>
      <c r="E67" s="36"/>
      <c r="F67" s="85"/>
      <c r="G67" s="36"/>
      <c r="H67" s="85"/>
      <c r="I67" s="37">
        <f>170</f>
        <v>170</v>
      </c>
      <c r="J67" s="85"/>
      <c r="K67" s="31">
        <f t="shared" si="5"/>
        <v>170</v>
      </c>
      <c r="L67" s="39">
        <v>7768.745</v>
      </c>
      <c r="M67" s="30">
        <v>7768.745</v>
      </c>
      <c r="N67" s="69">
        <f t="shared" si="3"/>
        <v>7938.745</v>
      </c>
      <c r="R67" s="68">
        <v>0</v>
      </c>
    </row>
    <row r="68" spans="1:18" ht="15">
      <c r="A68" s="34" t="s">
        <v>232</v>
      </c>
      <c r="B68" s="16">
        <v>2009</v>
      </c>
      <c r="C68" s="35"/>
      <c r="D68" s="85"/>
      <c r="E68" s="36"/>
      <c r="F68" s="85"/>
      <c r="G68" s="36"/>
      <c r="H68" s="85"/>
      <c r="I68" s="36"/>
      <c r="J68" s="85"/>
      <c r="K68" s="31">
        <f t="shared" si="5"/>
        <v>0</v>
      </c>
      <c r="L68" s="39">
        <v>3447</v>
      </c>
      <c r="M68" s="30">
        <v>3447</v>
      </c>
      <c r="N68" s="69">
        <f t="shared" si="3"/>
        <v>3447</v>
      </c>
      <c r="R68" s="68">
        <v>0</v>
      </c>
    </row>
    <row r="69" spans="1:18" ht="15">
      <c r="A69" s="34" t="s">
        <v>233</v>
      </c>
      <c r="B69" s="16">
        <v>2011</v>
      </c>
      <c r="C69" s="35"/>
      <c r="D69" s="83"/>
      <c r="E69" s="37"/>
      <c r="F69" s="83"/>
      <c r="G69" s="36"/>
      <c r="H69" s="83"/>
      <c r="I69" s="36"/>
      <c r="J69" s="83"/>
      <c r="K69" s="31">
        <f t="shared" si="5"/>
        <v>0</v>
      </c>
      <c r="L69" s="39">
        <v>3693</v>
      </c>
      <c r="M69" s="30">
        <v>4205</v>
      </c>
      <c r="N69" s="69">
        <f aca="true" t="shared" si="6" ref="N69:N132">M69+K69</f>
        <v>4205</v>
      </c>
      <c r="R69" s="68">
        <v>512</v>
      </c>
    </row>
    <row r="70" spans="1:18" ht="15">
      <c r="A70" s="34" t="s">
        <v>24</v>
      </c>
      <c r="B70" s="17">
        <v>2012</v>
      </c>
      <c r="C70" s="35"/>
      <c r="D70" s="83">
        <f>88+1300</f>
        <v>1388</v>
      </c>
      <c r="E70" s="37">
        <f>159</f>
        <v>159</v>
      </c>
      <c r="F70" s="83"/>
      <c r="G70" s="37">
        <f>470+120</f>
        <v>590</v>
      </c>
      <c r="H70" s="83"/>
      <c r="I70" s="37"/>
      <c r="J70" s="83">
        <f>200+189</f>
        <v>389</v>
      </c>
      <c r="K70" s="31">
        <f t="shared" si="5"/>
        <v>2526</v>
      </c>
      <c r="L70" s="39">
        <v>154880.41</v>
      </c>
      <c r="M70" s="30">
        <v>157618.41</v>
      </c>
      <c r="N70" s="69">
        <f t="shared" si="6"/>
        <v>160144.41</v>
      </c>
      <c r="R70" s="68">
        <v>2738</v>
      </c>
    </row>
    <row r="71" spans="1:18" ht="15">
      <c r="A71" s="34" t="s">
        <v>25</v>
      </c>
      <c r="B71" s="15">
        <v>2013</v>
      </c>
      <c r="C71" s="35"/>
      <c r="D71" s="83"/>
      <c r="E71" s="36">
        <f>45</f>
        <v>45</v>
      </c>
      <c r="F71" s="83"/>
      <c r="G71" s="36">
        <f>9</f>
        <v>9</v>
      </c>
      <c r="H71" s="83"/>
      <c r="I71" s="36">
        <f>150+162</f>
        <v>312</v>
      </c>
      <c r="J71" s="83"/>
      <c r="K71" s="31">
        <f>SUM(C71:J71)</f>
        <v>366</v>
      </c>
      <c r="L71" s="39">
        <v>42438.36</v>
      </c>
      <c r="M71" s="30">
        <v>42796.36</v>
      </c>
      <c r="N71" s="69">
        <f t="shared" si="6"/>
        <v>43162.36</v>
      </c>
      <c r="R71" s="68">
        <v>358</v>
      </c>
    </row>
    <row r="72" spans="1:18" ht="15">
      <c r="A72" s="34" t="s">
        <v>26</v>
      </c>
      <c r="B72" s="16">
        <v>2014</v>
      </c>
      <c r="C72" s="35"/>
      <c r="D72" s="85">
        <f>250</f>
        <v>250</v>
      </c>
      <c r="E72" s="37">
        <v>127</v>
      </c>
      <c r="F72" s="85">
        <f>18000</f>
        <v>18000</v>
      </c>
      <c r="G72" s="37">
        <f>239</f>
        <v>239</v>
      </c>
      <c r="H72" s="85">
        <v>914</v>
      </c>
      <c r="I72" s="37">
        <f>150</f>
        <v>150</v>
      </c>
      <c r="J72" s="85">
        <f>452</f>
        <v>452</v>
      </c>
      <c r="K72" s="31">
        <f t="shared" si="5"/>
        <v>20132</v>
      </c>
      <c r="L72" s="39">
        <v>66086.432</v>
      </c>
      <c r="M72" s="30">
        <v>84729.432</v>
      </c>
      <c r="N72" s="69">
        <f t="shared" si="6"/>
        <v>104861.432</v>
      </c>
      <c r="R72" s="68">
        <v>18643</v>
      </c>
    </row>
    <row r="73" spans="1:18" ht="15">
      <c r="A73" s="34" t="s">
        <v>156</v>
      </c>
      <c r="B73" s="16">
        <v>2015</v>
      </c>
      <c r="C73" s="35"/>
      <c r="D73" s="85">
        <f>241</f>
        <v>241</v>
      </c>
      <c r="E73" s="36">
        <f>250</f>
        <v>250</v>
      </c>
      <c r="F73" s="85"/>
      <c r="G73" s="36"/>
      <c r="H73" s="85"/>
      <c r="I73" s="36"/>
      <c r="J73" s="85"/>
      <c r="K73" s="31">
        <f t="shared" si="5"/>
        <v>491</v>
      </c>
      <c r="L73" s="39">
        <v>4192</v>
      </c>
      <c r="M73" s="30">
        <v>4542</v>
      </c>
      <c r="N73" s="69">
        <f t="shared" si="6"/>
        <v>5033</v>
      </c>
      <c r="R73" s="68">
        <v>350</v>
      </c>
    </row>
    <row r="74" spans="1:18" ht="15">
      <c r="A74" s="34" t="s">
        <v>27</v>
      </c>
      <c r="B74" s="16">
        <v>2016</v>
      </c>
      <c r="C74" s="35"/>
      <c r="D74" s="83">
        <f>150</f>
        <v>150</v>
      </c>
      <c r="E74" s="37">
        <v>36</v>
      </c>
      <c r="F74" s="83"/>
      <c r="G74" s="36">
        <f>3</f>
        <v>3</v>
      </c>
      <c r="H74" s="83"/>
      <c r="I74" s="36">
        <f>150</f>
        <v>150</v>
      </c>
      <c r="J74" s="83"/>
      <c r="K74" s="31">
        <f t="shared" si="5"/>
        <v>339</v>
      </c>
      <c r="L74" s="39">
        <v>18836.7</v>
      </c>
      <c r="M74" s="30">
        <v>29243.7</v>
      </c>
      <c r="N74" s="69">
        <f t="shared" si="6"/>
        <v>29582.7</v>
      </c>
      <c r="R74" s="68">
        <v>10407</v>
      </c>
    </row>
    <row r="75" spans="1:18" ht="15">
      <c r="A75" s="34" t="s">
        <v>234</v>
      </c>
      <c r="B75" s="16">
        <v>2017</v>
      </c>
      <c r="C75" s="35"/>
      <c r="D75" s="85"/>
      <c r="E75" s="36"/>
      <c r="F75" s="85"/>
      <c r="G75" s="36"/>
      <c r="H75" s="85"/>
      <c r="I75" s="37">
        <f>1500</f>
        <v>1500</v>
      </c>
      <c r="J75" s="85"/>
      <c r="K75" s="31">
        <f t="shared" si="5"/>
        <v>1500</v>
      </c>
      <c r="L75" s="39">
        <v>3166</v>
      </c>
      <c r="M75" s="30">
        <v>3266</v>
      </c>
      <c r="N75" s="69">
        <f t="shared" si="6"/>
        <v>4766</v>
      </c>
      <c r="R75" s="68">
        <v>100</v>
      </c>
    </row>
    <row r="76" spans="1:18" ht="15">
      <c r="A76" s="34" t="s">
        <v>202</v>
      </c>
      <c r="B76" s="16">
        <v>2018</v>
      </c>
      <c r="C76" s="35"/>
      <c r="D76" s="85"/>
      <c r="E76" s="36"/>
      <c r="F76" s="85"/>
      <c r="G76" s="36"/>
      <c r="H76" s="85"/>
      <c r="I76" s="36"/>
      <c r="J76" s="85"/>
      <c r="K76" s="31">
        <f t="shared" si="5"/>
        <v>0</v>
      </c>
      <c r="L76" s="39">
        <v>8037.73</v>
      </c>
      <c r="M76" s="30">
        <v>8162.73</v>
      </c>
      <c r="N76" s="69">
        <f t="shared" si="6"/>
        <v>8162.73</v>
      </c>
      <c r="R76" s="68">
        <v>125</v>
      </c>
    </row>
    <row r="77" spans="1:18" ht="15">
      <c r="A77" s="34" t="s">
        <v>235</v>
      </c>
      <c r="B77" s="16">
        <v>2019</v>
      </c>
      <c r="C77" s="35"/>
      <c r="D77" s="85"/>
      <c r="E77" s="36"/>
      <c r="F77" s="85"/>
      <c r="G77" s="36"/>
      <c r="H77" s="85"/>
      <c r="I77" s="36"/>
      <c r="J77" s="85">
        <f>421</f>
        <v>421</v>
      </c>
      <c r="K77" s="31">
        <f t="shared" si="5"/>
        <v>421</v>
      </c>
      <c r="L77" s="39">
        <v>6217</v>
      </c>
      <c r="M77" s="30">
        <v>6217</v>
      </c>
      <c r="N77" s="69">
        <f t="shared" si="6"/>
        <v>6638</v>
      </c>
      <c r="R77" s="68">
        <v>0</v>
      </c>
    </row>
    <row r="78" spans="1:18" ht="15">
      <c r="A78" s="34" t="s">
        <v>28</v>
      </c>
      <c r="B78" s="16">
        <v>2021</v>
      </c>
      <c r="C78" s="35"/>
      <c r="D78" s="85"/>
      <c r="E78" s="36"/>
      <c r="F78" s="85"/>
      <c r="G78" s="36"/>
      <c r="H78" s="85">
        <f>231</f>
        <v>231</v>
      </c>
      <c r="I78" s="36">
        <f>100</f>
        <v>100</v>
      </c>
      <c r="J78" s="85"/>
      <c r="K78" s="31">
        <f t="shared" si="5"/>
        <v>331</v>
      </c>
      <c r="L78" s="39">
        <v>7590</v>
      </c>
      <c r="M78" s="30">
        <v>7590</v>
      </c>
      <c r="N78" s="69">
        <f t="shared" si="6"/>
        <v>7921</v>
      </c>
      <c r="R78" s="68">
        <v>0</v>
      </c>
    </row>
    <row r="79" spans="1:18" ht="15">
      <c r="A79" s="34" t="s">
        <v>189</v>
      </c>
      <c r="B79" s="16">
        <v>2022</v>
      </c>
      <c r="C79" s="35"/>
      <c r="D79" s="85"/>
      <c r="E79" s="37"/>
      <c r="F79" s="85"/>
      <c r="G79" s="36"/>
      <c r="H79" s="85"/>
      <c r="I79" s="36"/>
      <c r="J79" s="85"/>
      <c r="K79" s="31">
        <f t="shared" si="5"/>
        <v>0</v>
      </c>
      <c r="L79" s="39">
        <v>3438</v>
      </c>
      <c r="M79" s="30">
        <v>3438</v>
      </c>
      <c r="N79" s="69">
        <f t="shared" si="6"/>
        <v>3438</v>
      </c>
      <c r="R79" s="68">
        <v>0</v>
      </c>
    </row>
    <row r="80" spans="1:18" ht="15">
      <c r="A80" s="34" t="s">
        <v>236</v>
      </c>
      <c r="B80" s="16">
        <v>2023</v>
      </c>
      <c r="C80" s="35"/>
      <c r="D80" s="85"/>
      <c r="E80" s="36"/>
      <c r="F80" s="85"/>
      <c r="G80" s="36"/>
      <c r="H80" s="85"/>
      <c r="I80" s="36">
        <f>285</f>
        <v>285</v>
      </c>
      <c r="J80" s="85"/>
      <c r="K80" s="31">
        <f t="shared" si="5"/>
        <v>285</v>
      </c>
      <c r="L80" s="39">
        <v>9603.06</v>
      </c>
      <c r="M80" s="30">
        <v>9603.06</v>
      </c>
      <c r="N80" s="69">
        <f t="shared" si="6"/>
        <v>9888.06</v>
      </c>
      <c r="R80" s="68">
        <v>0</v>
      </c>
    </row>
    <row r="81" spans="1:18" ht="15">
      <c r="A81" s="34" t="s">
        <v>237</v>
      </c>
      <c r="B81" s="16">
        <v>2024</v>
      </c>
      <c r="C81" s="35"/>
      <c r="D81" s="85"/>
      <c r="E81" s="36"/>
      <c r="F81" s="85"/>
      <c r="G81" s="36"/>
      <c r="H81" s="85"/>
      <c r="I81" s="36"/>
      <c r="J81" s="85"/>
      <c r="K81" s="31">
        <f t="shared" si="5"/>
        <v>0</v>
      </c>
      <c r="L81" s="39">
        <v>3502</v>
      </c>
      <c r="M81" s="30">
        <v>3867</v>
      </c>
      <c r="N81" s="69">
        <f t="shared" si="6"/>
        <v>3867</v>
      </c>
      <c r="R81" s="68">
        <v>365</v>
      </c>
    </row>
    <row r="82" spans="1:18" ht="15">
      <c r="A82" s="34" t="s">
        <v>29</v>
      </c>
      <c r="B82" s="16">
        <v>2025</v>
      </c>
      <c r="C82" s="35"/>
      <c r="D82" s="83"/>
      <c r="E82" s="36"/>
      <c r="F82" s="83"/>
      <c r="G82" s="36"/>
      <c r="H82" s="83"/>
      <c r="I82" s="37"/>
      <c r="J82" s="83"/>
      <c r="K82" s="31">
        <f t="shared" si="5"/>
        <v>0</v>
      </c>
      <c r="L82" s="39">
        <v>7707.5</v>
      </c>
      <c r="M82" s="30">
        <v>7707.5</v>
      </c>
      <c r="N82" s="69">
        <f t="shared" si="6"/>
        <v>7707.5</v>
      </c>
      <c r="R82" s="68">
        <v>0</v>
      </c>
    </row>
    <row r="83" spans="1:18" ht="15">
      <c r="A83" s="34" t="s">
        <v>238</v>
      </c>
      <c r="B83" s="16">
        <v>2026</v>
      </c>
      <c r="C83" s="35"/>
      <c r="D83" s="85"/>
      <c r="E83" s="36"/>
      <c r="F83" s="85"/>
      <c r="G83" s="36"/>
      <c r="H83" s="85"/>
      <c r="I83" s="36"/>
      <c r="J83" s="85"/>
      <c r="K83" s="31">
        <f t="shared" si="5"/>
        <v>0</v>
      </c>
      <c r="L83" s="39">
        <v>4048</v>
      </c>
      <c r="M83" s="30">
        <v>4048</v>
      </c>
      <c r="N83" s="69">
        <f t="shared" si="6"/>
        <v>4048</v>
      </c>
      <c r="R83" s="68">
        <v>0</v>
      </c>
    </row>
    <row r="84" spans="1:18" ht="15">
      <c r="A84" s="34" t="s">
        <v>190</v>
      </c>
      <c r="B84" s="16">
        <v>2027</v>
      </c>
      <c r="C84" s="35">
        <v>200</v>
      </c>
      <c r="D84" s="85"/>
      <c r="E84" s="37"/>
      <c r="F84" s="85"/>
      <c r="G84" s="36"/>
      <c r="H84" s="85"/>
      <c r="I84" s="36">
        <f>300</f>
        <v>300</v>
      </c>
      <c r="J84" s="85">
        <f>183</f>
        <v>183</v>
      </c>
      <c r="K84" s="31">
        <f t="shared" si="5"/>
        <v>683</v>
      </c>
      <c r="L84" s="39">
        <v>3949</v>
      </c>
      <c r="M84" s="30">
        <v>7625</v>
      </c>
      <c r="N84" s="69">
        <f t="shared" si="6"/>
        <v>8308</v>
      </c>
      <c r="R84" s="68">
        <v>3676</v>
      </c>
    </row>
    <row r="85" spans="1:18" ht="15">
      <c r="A85" s="34" t="s">
        <v>239</v>
      </c>
      <c r="B85" s="16">
        <v>2028</v>
      </c>
      <c r="C85" s="35"/>
      <c r="D85" s="85"/>
      <c r="E85" s="36">
        <f>88</f>
        <v>88</v>
      </c>
      <c r="F85" s="85"/>
      <c r="G85" s="36"/>
      <c r="H85" s="85"/>
      <c r="I85" s="36">
        <f>49</f>
        <v>49</v>
      </c>
      <c r="J85" s="85"/>
      <c r="K85" s="31">
        <f t="shared" si="5"/>
        <v>137</v>
      </c>
      <c r="L85" s="39">
        <v>450</v>
      </c>
      <c r="M85" s="30">
        <v>777</v>
      </c>
      <c r="N85" s="69">
        <f t="shared" si="6"/>
        <v>914</v>
      </c>
      <c r="R85" s="68">
        <v>327</v>
      </c>
    </row>
    <row r="86" spans="1:18" ht="15">
      <c r="A86" s="34" t="s">
        <v>30</v>
      </c>
      <c r="B86" s="16">
        <v>2029</v>
      </c>
      <c r="C86" s="35"/>
      <c r="D86" s="85"/>
      <c r="E86" s="36"/>
      <c r="F86" s="85"/>
      <c r="G86" s="36"/>
      <c r="H86" s="85">
        <v>285</v>
      </c>
      <c r="I86" s="36"/>
      <c r="J86" s="85"/>
      <c r="K86" s="31">
        <f t="shared" si="5"/>
        <v>285</v>
      </c>
      <c r="L86" s="39">
        <v>3498.3</v>
      </c>
      <c r="M86" s="30">
        <v>3498.3</v>
      </c>
      <c r="N86" s="69">
        <f t="shared" si="6"/>
        <v>3783.3</v>
      </c>
      <c r="R86" s="68">
        <v>0</v>
      </c>
    </row>
    <row r="87" spans="1:18" ht="15">
      <c r="A87" s="34" t="s">
        <v>240</v>
      </c>
      <c r="B87" s="16">
        <v>2031</v>
      </c>
      <c r="C87" s="35"/>
      <c r="D87" s="83">
        <f>890</f>
        <v>890</v>
      </c>
      <c r="E87" s="36"/>
      <c r="F87" s="83"/>
      <c r="G87" s="36"/>
      <c r="H87" s="83"/>
      <c r="I87" s="36"/>
      <c r="J87" s="83"/>
      <c r="K87" s="31">
        <f t="shared" si="5"/>
        <v>890</v>
      </c>
      <c r="L87" s="39">
        <v>16985.083</v>
      </c>
      <c r="M87" s="30">
        <v>16985.083</v>
      </c>
      <c r="N87" s="69">
        <f t="shared" si="6"/>
        <v>17875.083</v>
      </c>
      <c r="R87" s="68">
        <v>0</v>
      </c>
    </row>
    <row r="88" spans="1:18" ht="15">
      <c r="A88" s="34" t="s">
        <v>241</v>
      </c>
      <c r="B88" s="16">
        <v>2032</v>
      </c>
      <c r="C88" s="35"/>
      <c r="D88" s="85"/>
      <c r="E88" s="36"/>
      <c r="F88" s="85"/>
      <c r="G88" s="36"/>
      <c r="H88" s="85">
        <v>206</v>
      </c>
      <c r="I88" s="36"/>
      <c r="J88" s="85">
        <f>10</f>
        <v>10</v>
      </c>
      <c r="K88" s="31">
        <f t="shared" si="5"/>
        <v>216</v>
      </c>
      <c r="L88" s="39">
        <v>5713</v>
      </c>
      <c r="M88" s="30">
        <v>5738</v>
      </c>
      <c r="N88" s="69">
        <f t="shared" si="6"/>
        <v>5954</v>
      </c>
      <c r="R88" s="68">
        <v>25</v>
      </c>
    </row>
    <row r="89" spans="1:18" ht="15">
      <c r="A89" s="34" t="s">
        <v>242</v>
      </c>
      <c r="B89" s="16">
        <v>2033</v>
      </c>
      <c r="C89" s="35"/>
      <c r="D89" s="85"/>
      <c r="E89" s="36"/>
      <c r="F89" s="85"/>
      <c r="G89" s="36"/>
      <c r="H89" s="85"/>
      <c r="I89" s="37"/>
      <c r="J89" s="85"/>
      <c r="K89" s="31">
        <f t="shared" si="5"/>
        <v>0</v>
      </c>
      <c r="L89" s="39">
        <v>3490</v>
      </c>
      <c r="M89" s="30">
        <v>3490</v>
      </c>
      <c r="N89" s="69">
        <f t="shared" si="6"/>
        <v>3490</v>
      </c>
      <c r="R89" s="68">
        <v>0</v>
      </c>
    </row>
    <row r="90" spans="1:18" ht="15">
      <c r="A90" s="34" t="s">
        <v>243</v>
      </c>
      <c r="B90" s="16">
        <v>2034</v>
      </c>
      <c r="C90" s="35"/>
      <c r="D90" s="85"/>
      <c r="E90" s="37"/>
      <c r="F90" s="85"/>
      <c r="G90" s="36"/>
      <c r="H90" s="85">
        <v>194</v>
      </c>
      <c r="I90" s="36"/>
      <c r="J90" s="85"/>
      <c r="K90" s="31">
        <f t="shared" si="5"/>
        <v>194</v>
      </c>
      <c r="L90" s="39">
        <v>1597</v>
      </c>
      <c r="M90" s="30">
        <v>1597</v>
      </c>
      <c r="N90" s="69">
        <f t="shared" si="6"/>
        <v>1791</v>
      </c>
      <c r="R90" s="68">
        <v>0</v>
      </c>
    </row>
    <row r="91" spans="1:18" ht="15">
      <c r="A91" s="34" t="s">
        <v>143</v>
      </c>
      <c r="B91" s="16">
        <v>2035</v>
      </c>
      <c r="C91" s="35"/>
      <c r="D91" s="85">
        <f>112</f>
        <v>112</v>
      </c>
      <c r="E91" s="36"/>
      <c r="F91" s="85"/>
      <c r="G91" s="36"/>
      <c r="H91" s="85"/>
      <c r="I91" s="36"/>
      <c r="J91" s="85">
        <f>945</f>
        <v>945</v>
      </c>
      <c r="K91" s="31">
        <f t="shared" si="5"/>
        <v>1057</v>
      </c>
      <c r="L91" s="39">
        <v>11907</v>
      </c>
      <c r="M91" s="30">
        <v>12753</v>
      </c>
      <c r="N91" s="69">
        <f t="shared" si="6"/>
        <v>13810</v>
      </c>
      <c r="R91" s="68">
        <v>846</v>
      </c>
    </row>
    <row r="92" spans="1:18" ht="15">
      <c r="A92" s="34" t="s">
        <v>244</v>
      </c>
      <c r="B92" s="16">
        <v>2036</v>
      </c>
      <c r="C92" s="35">
        <v>170</v>
      </c>
      <c r="D92" s="85"/>
      <c r="E92" s="36"/>
      <c r="F92" s="85"/>
      <c r="G92" s="36"/>
      <c r="H92" s="85"/>
      <c r="I92" s="36"/>
      <c r="J92" s="85"/>
      <c r="K92" s="31">
        <f t="shared" si="5"/>
        <v>170</v>
      </c>
      <c r="L92" s="39">
        <v>2186</v>
      </c>
      <c r="M92" s="30">
        <v>2186</v>
      </c>
      <c r="N92" s="69">
        <f t="shared" si="6"/>
        <v>2356</v>
      </c>
      <c r="R92" s="68">
        <v>0</v>
      </c>
    </row>
    <row r="93" spans="1:18" ht="15">
      <c r="A93" s="34" t="s">
        <v>31</v>
      </c>
      <c r="B93" s="16">
        <v>2037</v>
      </c>
      <c r="C93" s="35"/>
      <c r="D93" s="83">
        <f>45</f>
        <v>45</v>
      </c>
      <c r="E93" s="36">
        <f>50</f>
        <v>50</v>
      </c>
      <c r="F93" s="83"/>
      <c r="G93" s="36"/>
      <c r="H93" s="83"/>
      <c r="I93" s="36"/>
      <c r="J93" s="83"/>
      <c r="K93" s="31">
        <f t="shared" si="5"/>
        <v>95</v>
      </c>
      <c r="L93" s="39">
        <v>1576.08</v>
      </c>
      <c r="M93" s="30">
        <v>3175.08</v>
      </c>
      <c r="N93" s="69">
        <f t="shared" si="6"/>
        <v>3270.08</v>
      </c>
      <c r="R93" s="68">
        <v>1599</v>
      </c>
    </row>
    <row r="94" spans="1:18" ht="15">
      <c r="A94" s="34" t="s">
        <v>32</v>
      </c>
      <c r="B94" s="16">
        <v>2038</v>
      </c>
      <c r="C94" s="35"/>
      <c r="D94" s="85">
        <f>796</f>
        <v>796</v>
      </c>
      <c r="E94" s="37">
        <f>200+13</f>
        <v>213</v>
      </c>
      <c r="F94" s="85"/>
      <c r="G94" s="36"/>
      <c r="H94" s="85"/>
      <c r="I94" s="36"/>
      <c r="J94" s="85"/>
      <c r="K94" s="31">
        <f>SUM(C94:J94)</f>
        <v>1009</v>
      </c>
      <c r="L94" s="39">
        <v>3570</v>
      </c>
      <c r="M94" s="30">
        <v>3650</v>
      </c>
      <c r="N94" s="69">
        <f t="shared" si="6"/>
        <v>4659</v>
      </c>
      <c r="R94" s="68">
        <v>80</v>
      </c>
    </row>
    <row r="95" spans="1:18" ht="15">
      <c r="A95" s="34" t="s">
        <v>245</v>
      </c>
      <c r="B95" s="16">
        <v>2039</v>
      </c>
      <c r="C95" s="35"/>
      <c r="D95" s="85"/>
      <c r="E95" s="36"/>
      <c r="F95" s="85"/>
      <c r="G95" s="36"/>
      <c r="H95" s="85"/>
      <c r="I95" s="36"/>
      <c r="J95" s="85"/>
      <c r="K95" s="31">
        <f t="shared" si="5"/>
        <v>0</v>
      </c>
      <c r="L95" s="39">
        <v>7154.861</v>
      </c>
      <c r="M95" s="30">
        <v>7154.861</v>
      </c>
      <c r="N95" s="69">
        <f t="shared" si="6"/>
        <v>7154.861</v>
      </c>
      <c r="R95" s="68">
        <v>0</v>
      </c>
    </row>
    <row r="96" spans="1:18" ht="15">
      <c r="A96" s="34" t="s">
        <v>33</v>
      </c>
      <c r="B96" s="16">
        <v>2041</v>
      </c>
      <c r="C96" s="35"/>
      <c r="D96" s="83"/>
      <c r="E96" s="37"/>
      <c r="F96" s="83"/>
      <c r="G96" s="36"/>
      <c r="H96" s="83"/>
      <c r="I96" s="36"/>
      <c r="J96" s="83"/>
      <c r="K96" s="31">
        <f t="shared" si="5"/>
        <v>0</v>
      </c>
      <c r="L96" s="39">
        <v>20754.898999999998</v>
      </c>
      <c r="M96" s="30">
        <v>25259.898999999998</v>
      </c>
      <c r="N96" s="69">
        <f t="shared" si="6"/>
        <v>25259.898999999998</v>
      </c>
      <c r="R96" s="68">
        <v>4505</v>
      </c>
    </row>
    <row r="97" spans="1:18" ht="15">
      <c r="A97" s="34" t="s">
        <v>246</v>
      </c>
      <c r="B97" s="16">
        <v>2042</v>
      </c>
      <c r="C97" s="35"/>
      <c r="D97" s="83"/>
      <c r="E97" s="36">
        <f>83</f>
        <v>83</v>
      </c>
      <c r="F97" s="83"/>
      <c r="G97" s="36"/>
      <c r="H97" s="83">
        <v>285</v>
      </c>
      <c r="I97" s="37">
        <f>75</f>
        <v>75</v>
      </c>
      <c r="J97" s="83">
        <f>39</f>
        <v>39</v>
      </c>
      <c r="K97" s="31">
        <f t="shared" si="5"/>
        <v>482</v>
      </c>
      <c r="L97" s="39">
        <v>4142</v>
      </c>
      <c r="M97" s="30">
        <v>4142</v>
      </c>
      <c r="N97" s="69">
        <f t="shared" si="6"/>
        <v>4624</v>
      </c>
      <c r="R97" s="68">
        <v>0</v>
      </c>
    </row>
    <row r="98" spans="1:18" ht="15">
      <c r="A98" s="34" t="s">
        <v>21</v>
      </c>
      <c r="B98" s="16">
        <v>2043</v>
      </c>
      <c r="C98" s="35"/>
      <c r="D98" s="85"/>
      <c r="E98" s="36">
        <v>49</v>
      </c>
      <c r="F98" s="85"/>
      <c r="G98" s="36"/>
      <c r="H98" s="85">
        <v>197</v>
      </c>
      <c r="I98" s="37"/>
      <c r="J98" s="85"/>
      <c r="K98" s="31">
        <f t="shared" si="5"/>
        <v>246</v>
      </c>
      <c r="L98" s="39">
        <v>9407.28</v>
      </c>
      <c r="M98" s="30">
        <v>9444.28</v>
      </c>
      <c r="N98" s="69">
        <f t="shared" si="6"/>
        <v>9690.28</v>
      </c>
      <c r="R98" s="68">
        <v>37</v>
      </c>
    </row>
    <row r="99" spans="1:18" ht="15">
      <c r="A99" s="34" t="s">
        <v>247</v>
      </c>
      <c r="B99" s="16">
        <v>2044</v>
      </c>
      <c r="C99" s="35"/>
      <c r="D99" s="85"/>
      <c r="E99" s="36"/>
      <c r="F99" s="85"/>
      <c r="G99" s="36"/>
      <c r="H99" s="85"/>
      <c r="I99" s="36"/>
      <c r="J99" s="85"/>
      <c r="K99" s="31">
        <f t="shared" si="5"/>
        <v>0</v>
      </c>
      <c r="L99" s="39">
        <v>1518</v>
      </c>
      <c r="M99" s="30">
        <v>1518</v>
      </c>
      <c r="N99" s="69">
        <f t="shared" si="6"/>
        <v>1518</v>
      </c>
      <c r="R99" s="68">
        <v>0</v>
      </c>
    </row>
    <row r="100" spans="1:18" ht="15">
      <c r="A100" s="34" t="s">
        <v>34</v>
      </c>
      <c r="B100" s="16">
        <v>2045</v>
      </c>
      <c r="C100" s="35"/>
      <c r="D100" s="85"/>
      <c r="E100" s="36"/>
      <c r="F100" s="85"/>
      <c r="G100" s="36"/>
      <c r="H100" s="85"/>
      <c r="I100" s="36"/>
      <c r="J100" s="85"/>
      <c r="K100" s="31">
        <f t="shared" si="5"/>
        <v>0</v>
      </c>
      <c r="L100" s="39">
        <v>585.96</v>
      </c>
      <c r="M100" s="30">
        <v>1894.96</v>
      </c>
      <c r="N100" s="69">
        <f t="shared" si="6"/>
        <v>1894.96</v>
      </c>
      <c r="R100" s="68">
        <v>1309</v>
      </c>
    </row>
    <row r="101" spans="1:18" ht="15">
      <c r="A101" s="34" t="s">
        <v>203</v>
      </c>
      <c r="B101" s="16">
        <v>2046</v>
      </c>
      <c r="C101" s="40"/>
      <c r="D101" s="85"/>
      <c r="E101" s="36">
        <f>20</f>
        <v>20</v>
      </c>
      <c r="F101" s="85"/>
      <c r="G101" s="36"/>
      <c r="H101" s="85">
        <v>219</v>
      </c>
      <c r="I101" s="36"/>
      <c r="J101" s="85"/>
      <c r="K101" s="31">
        <f t="shared" si="5"/>
        <v>239</v>
      </c>
      <c r="L101" s="39">
        <v>2845.13</v>
      </c>
      <c r="M101" s="30">
        <v>2935.13</v>
      </c>
      <c r="N101" s="69">
        <f t="shared" si="6"/>
        <v>3174.13</v>
      </c>
      <c r="R101" s="68">
        <v>90</v>
      </c>
    </row>
    <row r="102" spans="1:18" ht="15">
      <c r="A102" s="34" t="s">
        <v>35</v>
      </c>
      <c r="B102" s="16">
        <v>2047</v>
      </c>
      <c r="C102" s="35"/>
      <c r="D102" s="83">
        <f>20+137</f>
        <v>157</v>
      </c>
      <c r="E102" s="36"/>
      <c r="F102" s="83"/>
      <c r="G102" s="36"/>
      <c r="H102" s="83"/>
      <c r="I102" s="36">
        <f>142</f>
        <v>142</v>
      </c>
      <c r="J102" s="83"/>
      <c r="K102" s="31">
        <f t="shared" si="5"/>
        <v>299</v>
      </c>
      <c r="L102" s="39">
        <v>11643.24</v>
      </c>
      <c r="M102" s="30">
        <v>11726.24</v>
      </c>
      <c r="N102" s="69">
        <f t="shared" si="6"/>
        <v>12025.24</v>
      </c>
      <c r="R102" s="68">
        <v>83</v>
      </c>
    </row>
    <row r="103" spans="1:18" ht="15">
      <c r="A103" s="34" t="s">
        <v>248</v>
      </c>
      <c r="B103" s="18">
        <v>2048</v>
      </c>
      <c r="C103" s="35"/>
      <c r="D103" s="85"/>
      <c r="E103" s="37"/>
      <c r="F103" s="85"/>
      <c r="G103" s="36"/>
      <c r="H103" s="85"/>
      <c r="I103" s="36"/>
      <c r="J103" s="85"/>
      <c r="K103" s="31">
        <f t="shared" si="5"/>
        <v>0</v>
      </c>
      <c r="L103" s="39">
        <v>1354</v>
      </c>
      <c r="M103" s="30">
        <v>1354</v>
      </c>
      <c r="N103" s="69">
        <f t="shared" si="6"/>
        <v>1354</v>
      </c>
      <c r="R103" s="68">
        <v>0</v>
      </c>
    </row>
    <row r="104" spans="1:44" s="9" customFormat="1" ht="15">
      <c r="A104" s="77" t="s">
        <v>249</v>
      </c>
      <c r="B104" s="79"/>
      <c r="C104" s="76">
        <f>SUM(C105:C209)</f>
        <v>7427</v>
      </c>
      <c r="D104" s="38">
        <f aca="true" t="shared" si="7" ref="D104:J104">SUM(D105:D209)</f>
        <v>4287</v>
      </c>
      <c r="E104" s="38">
        <f t="shared" si="7"/>
        <v>469</v>
      </c>
      <c r="F104" s="38">
        <f t="shared" si="7"/>
        <v>3000</v>
      </c>
      <c r="G104" s="38">
        <f t="shared" si="7"/>
        <v>400</v>
      </c>
      <c r="H104" s="38">
        <f t="shared" si="7"/>
        <v>4030</v>
      </c>
      <c r="I104" s="38">
        <f>SUM(I105:I209)</f>
        <v>7948</v>
      </c>
      <c r="J104" s="38">
        <f t="shared" si="7"/>
        <v>10919</v>
      </c>
      <c r="K104" s="38">
        <f>SUM(K105:K209)</f>
        <v>38480</v>
      </c>
      <c r="L104" s="32">
        <v>612130.90619</v>
      </c>
      <c r="M104" s="33">
        <v>653228.90619</v>
      </c>
      <c r="N104" s="69">
        <f t="shared" si="6"/>
        <v>691708.90619</v>
      </c>
      <c r="O104" s="1"/>
      <c r="P104" s="1"/>
      <c r="Q104" s="1"/>
      <c r="R104" s="68">
        <v>41099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18" ht="15">
      <c r="A105" s="34" t="s">
        <v>250</v>
      </c>
      <c r="B105" s="15">
        <v>3001</v>
      </c>
      <c r="C105" s="35"/>
      <c r="D105" s="85"/>
      <c r="E105" s="36"/>
      <c r="F105" s="85"/>
      <c r="G105" s="36"/>
      <c r="H105" s="85"/>
      <c r="I105" s="36"/>
      <c r="J105" s="85"/>
      <c r="K105" s="31">
        <f aca="true" t="shared" si="8" ref="K105:K136">SUM(C105:J105)</f>
        <v>0</v>
      </c>
      <c r="L105" s="39">
        <v>1834</v>
      </c>
      <c r="M105" s="30">
        <v>1834</v>
      </c>
      <c r="N105" s="69">
        <f t="shared" si="6"/>
        <v>1834</v>
      </c>
      <c r="R105" s="68">
        <v>0</v>
      </c>
    </row>
    <row r="106" spans="1:18" ht="15">
      <c r="A106" s="34" t="s">
        <v>251</v>
      </c>
      <c r="B106" s="16">
        <v>3002</v>
      </c>
      <c r="C106" s="35"/>
      <c r="D106" s="85"/>
      <c r="E106" s="37"/>
      <c r="F106" s="85"/>
      <c r="G106" s="36"/>
      <c r="H106" s="85"/>
      <c r="I106" s="36"/>
      <c r="J106" s="85"/>
      <c r="K106" s="31">
        <f t="shared" si="8"/>
        <v>0</v>
      </c>
      <c r="L106" s="39">
        <v>8913.665</v>
      </c>
      <c r="M106" s="30">
        <v>9413.665</v>
      </c>
      <c r="N106" s="69">
        <f t="shared" si="6"/>
        <v>9413.665</v>
      </c>
      <c r="R106" s="68">
        <v>500</v>
      </c>
    </row>
    <row r="107" spans="1:18" ht="15">
      <c r="A107" s="34" t="s">
        <v>252</v>
      </c>
      <c r="B107" s="16">
        <v>3003</v>
      </c>
      <c r="C107" s="35"/>
      <c r="D107" s="85"/>
      <c r="E107" s="37"/>
      <c r="F107" s="85"/>
      <c r="G107" s="36"/>
      <c r="H107" s="85"/>
      <c r="I107" s="36"/>
      <c r="J107" s="85"/>
      <c r="K107" s="31">
        <f t="shared" si="8"/>
        <v>0</v>
      </c>
      <c r="L107" s="39">
        <v>4028</v>
      </c>
      <c r="M107" s="30">
        <v>4028</v>
      </c>
      <c r="N107" s="69">
        <f t="shared" si="6"/>
        <v>4028</v>
      </c>
      <c r="R107" s="68">
        <v>0</v>
      </c>
    </row>
    <row r="108" spans="1:18" ht="15">
      <c r="A108" s="34" t="s">
        <v>36</v>
      </c>
      <c r="B108" s="16">
        <v>3004</v>
      </c>
      <c r="C108" s="35"/>
      <c r="D108" s="85"/>
      <c r="E108" s="37">
        <f>21</f>
        <v>21</v>
      </c>
      <c r="F108" s="85"/>
      <c r="G108" s="36"/>
      <c r="H108" s="85"/>
      <c r="I108" s="37">
        <f>148</f>
        <v>148</v>
      </c>
      <c r="J108" s="85">
        <f>476+15</f>
        <v>491</v>
      </c>
      <c r="K108" s="31">
        <f t="shared" si="8"/>
        <v>660</v>
      </c>
      <c r="L108" s="39">
        <v>9286</v>
      </c>
      <c r="M108" s="30">
        <v>9586</v>
      </c>
      <c r="N108" s="69">
        <f t="shared" si="6"/>
        <v>10246</v>
      </c>
      <c r="R108" s="68">
        <v>300</v>
      </c>
    </row>
    <row r="109" spans="1:18" ht="15">
      <c r="A109" s="34" t="s">
        <v>253</v>
      </c>
      <c r="B109" s="16">
        <v>3005</v>
      </c>
      <c r="C109" s="35"/>
      <c r="D109" s="85"/>
      <c r="E109" s="36"/>
      <c r="F109" s="85"/>
      <c r="G109" s="36"/>
      <c r="H109" s="85"/>
      <c r="I109" s="36"/>
      <c r="J109" s="85"/>
      <c r="K109" s="31">
        <f t="shared" si="8"/>
        <v>0</v>
      </c>
      <c r="L109" s="39">
        <v>1227</v>
      </c>
      <c r="M109" s="30">
        <v>1227</v>
      </c>
      <c r="N109" s="69">
        <f t="shared" si="6"/>
        <v>1227</v>
      </c>
      <c r="R109" s="68">
        <v>0</v>
      </c>
    </row>
    <row r="110" spans="1:18" ht="15">
      <c r="A110" s="34" t="s">
        <v>191</v>
      </c>
      <c r="B110" s="16">
        <v>3006</v>
      </c>
      <c r="C110" s="35"/>
      <c r="D110" s="85"/>
      <c r="E110" s="36"/>
      <c r="F110" s="85"/>
      <c r="G110" s="36"/>
      <c r="H110" s="85"/>
      <c r="I110" s="36"/>
      <c r="J110" s="85"/>
      <c r="K110" s="31">
        <f t="shared" si="8"/>
        <v>0</v>
      </c>
      <c r="L110" s="39">
        <v>720</v>
      </c>
      <c r="M110" s="30">
        <v>933</v>
      </c>
      <c r="N110" s="69">
        <f t="shared" si="6"/>
        <v>933</v>
      </c>
      <c r="R110" s="68">
        <v>213</v>
      </c>
    </row>
    <row r="111" spans="1:18" ht="15">
      <c r="A111" s="34" t="s">
        <v>254</v>
      </c>
      <c r="B111" s="16">
        <v>3007</v>
      </c>
      <c r="C111" s="35"/>
      <c r="D111" s="85">
        <f>30</f>
        <v>30</v>
      </c>
      <c r="E111" s="36"/>
      <c r="F111" s="85"/>
      <c r="G111" s="36"/>
      <c r="H111" s="85"/>
      <c r="I111" s="36"/>
      <c r="J111" s="85">
        <f>151</f>
        <v>151</v>
      </c>
      <c r="K111" s="31">
        <f t="shared" si="8"/>
        <v>181</v>
      </c>
      <c r="L111" s="39">
        <v>5510.5</v>
      </c>
      <c r="M111" s="30">
        <v>5652.5</v>
      </c>
      <c r="N111" s="69">
        <f t="shared" si="6"/>
        <v>5833.5</v>
      </c>
      <c r="R111" s="68">
        <v>142</v>
      </c>
    </row>
    <row r="112" spans="1:18" ht="15">
      <c r="A112" s="34" t="s">
        <v>37</v>
      </c>
      <c r="B112" s="16">
        <v>3008</v>
      </c>
      <c r="C112" s="35"/>
      <c r="D112" s="85"/>
      <c r="E112" s="36"/>
      <c r="F112" s="85"/>
      <c r="G112" s="36"/>
      <c r="H112" s="85"/>
      <c r="I112" s="36">
        <f>151</f>
        <v>151</v>
      </c>
      <c r="J112" s="85">
        <f>493+75</f>
        <v>568</v>
      </c>
      <c r="K112" s="31">
        <f t="shared" si="8"/>
        <v>719</v>
      </c>
      <c r="L112" s="39">
        <v>2334.6</v>
      </c>
      <c r="M112" s="30">
        <v>2633.6</v>
      </c>
      <c r="N112" s="69">
        <f t="shared" si="6"/>
        <v>3352.6</v>
      </c>
      <c r="R112" s="68">
        <v>299</v>
      </c>
    </row>
    <row r="113" spans="1:18" ht="15">
      <c r="A113" s="34" t="s">
        <v>38</v>
      </c>
      <c r="B113" s="16">
        <v>3009</v>
      </c>
      <c r="C113" s="35"/>
      <c r="D113" s="83"/>
      <c r="E113" s="36"/>
      <c r="F113" s="83"/>
      <c r="G113" s="36"/>
      <c r="H113" s="83"/>
      <c r="I113" s="36">
        <f>200</f>
        <v>200</v>
      </c>
      <c r="J113" s="83"/>
      <c r="K113" s="31">
        <f t="shared" si="8"/>
        <v>200</v>
      </c>
      <c r="L113" s="39">
        <v>2087.805</v>
      </c>
      <c r="M113" s="30">
        <v>2087.805</v>
      </c>
      <c r="N113" s="69">
        <f t="shared" si="6"/>
        <v>2287.805</v>
      </c>
      <c r="R113" s="68">
        <v>0</v>
      </c>
    </row>
    <row r="114" spans="1:18" ht="15">
      <c r="A114" s="34" t="s">
        <v>39</v>
      </c>
      <c r="B114" s="16">
        <v>3011</v>
      </c>
      <c r="C114" s="35"/>
      <c r="D114" s="85"/>
      <c r="E114" s="36"/>
      <c r="F114" s="85"/>
      <c r="G114" s="36"/>
      <c r="H114" s="85"/>
      <c r="I114" s="36">
        <v>200</v>
      </c>
      <c r="J114" s="85"/>
      <c r="K114" s="31">
        <f t="shared" si="8"/>
        <v>200</v>
      </c>
      <c r="L114" s="39">
        <v>991</v>
      </c>
      <c r="M114" s="30">
        <v>2297</v>
      </c>
      <c r="N114" s="69">
        <f t="shared" si="6"/>
        <v>2497</v>
      </c>
      <c r="R114" s="68">
        <v>1306</v>
      </c>
    </row>
    <row r="115" spans="1:18" ht="15">
      <c r="A115" s="34" t="s">
        <v>255</v>
      </c>
      <c r="B115" s="17">
        <v>3012</v>
      </c>
      <c r="C115" s="35"/>
      <c r="D115" s="85"/>
      <c r="E115" s="36"/>
      <c r="F115" s="85"/>
      <c r="G115" s="36"/>
      <c r="H115" s="85"/>
      <c r="I115" s="36">
        <f>300</f>
        <v>300</v>
      </c>
      <c r="J115" s="85"/>
      <c r="K115" s="31">
        <f t="shared" si="8"/>
        <v>300</v>
      </c>
      <c r="L115" s="39">
        <v>341</v>
      </c>
      <c r="M115" s="30">
        <v>341</v>
      </c>
      <c r="N115" s="69">
        <f t="shared" si="6"/>
        <v>641</v>
      </c>
      <c r="R115" s="68">
        <v>0</v>
      </c>
    </row>
    <row r="116" spans="1:18" ht="15">
      <c r="A116" s="34" t="s">
        <v>144</v>
      </c>
      <c r="B116" s="15">
        <v>3013</v>
      </c>
      <c r="C116" s="35"/>
      <c r="D116" s="85"/>
      <c r="E116" s="36"/>
      <c r="F116" s="85"/>
      <c r="G116" s="36"/>
      <c r="H116" s="85"/>
      <c r="I116" s="36">
        <f>200+100</f>
        <v>300</v>
      </c>
      <c r="J116" s="85"/>
      <c r="K116" s="31">
        <f t="shared" si="8"/>
        <v>300</v>
      </c>
      <c r="L116" s="39">
        <v>4431</v>
      </c>
      <c r="M116" s="30">
        <v>5822</v>
      </c>
      <c r="N116" s="69">
        <f t="shared" si="6"/>
        <v>6122</v>
      </c>
      <c r="R116" s="68">
        <v>1391</v>
      </c>
    </row>
    <row r="117" spans="1:18" ht="15">
      <c r="A117" s="34" t="s">
        <v>132</v>
      </c>
      <c r="B117" s="16">
        <v>3014</v>
      </c>
      <c r="C117" s="35"/>
      <c r="D117" s="85"/>
      <c r="E117" s="36"/>
      <c r="F117" s="85"/>
      <c r="G117" s="36"/>
      <c r="H117" s="85"/>
      <c r="I117" s="36"/>
      <c r="J117" s="85"/>
      <c r="K117" s="31">
        <f t="shared" si="8"/>
        <v>0</v>
      </c>
      <c r="L117" s="39">
        <v>5205.83</v>
      </c>
      <c r="M117" s="30">
        <v>5505.83</v>
      </c>
      <c r="N117" s="69">
        <f t="shared" si="6"/>
        <v>5505.83</v>
      </c>
      <c r="R117" s="68">
        <v>300</v>
      </c>
    </row>
    <row r="118" spans="1:18" ht="15">
      <c r="A118" s="34" t="s">
        <v>40</v>
      </c>
      <c r="B118" s="16">
        <v>3015</v>
      </c>
      <c r="C118" s="35">
        <v>25</v>
      </c>
      <c r="D118" s="85"/>
      <c r="E118" s="36"/>
      <c r="F118" s="85"/>
      <c r="G118" s="36"/>
      <c r="H118" s="85"/>
      <c r="I118" s="36"/>
      <c r="J118" s="85"/>
      <c r="K118" s="31">
        <f t="shared" si="8"/>
        <v>25</v>
      </c>
      <c r="L118" s="39">
        <v>1768</v>
      </c>
      <c r="M118" s="30">
        <v>1768</v>
      </c>
      <c r="N118" s="69">
        <f t="shared" si="6"/>
        <v>1793</v>
      </c>
      <c r="R118" s="68">
        <v>0</v>
      </c>
    </row>
    <row r="119" spans="1:18" ht="15">
      <c r="A119" s="34" t="s">
        <v>256</v>
      </c>
      <c r="B119" s="16">
        <v>3016</v>
      </c>
      <c r="C119" s="35"/>
      <c r="D119" s="85"/>
      <c r="E119" s="36"/>
      <c r="F119" s="85"/>
      <c r="G119" s="36"/>
      <c r="H119" s="85"/>
      <c r="I119" s="36"/>
      <c r="J119" s="85"/>
      <c r="K119" s="31">
        <f t="shared" si="8"/>
        <v>0</v>
      </c>
      <c r="L119" s="39">
        <v>282</v>
      </c>
      <c r="M119" s="30">
        <v>282</v>
      </c>
      <c r="N119" s="69">
        <f t="shared" si="6"/>
        <v>282</v>
      </c>
      <c r="R119" s="68">
        <v>0</v>
      </c>
    </row>
    <row r="120" spans="1:18" ht="15">
      <c r="A120" s="34" t="s">
        <v>41</v>
      </c>
      <c r="B120" s="16">
        <v>3017</v>
      </c>
      <c r="C120" s="35"/>
      <c r="D120" s="85"/>
      <c r="E120" s="36">
        <f>189</f>
        <v>189</v>
      </c>
      <c r="F120" s="85"/>
      <c r="G120" s="36"/>
      <c r="H120" s="85"/>
      <c r="I120" s="36"/>
      <c r="J120" s="85"/>
      <c r="K120" s="31">
        <f t="shared" si="8"/>
        <v>189</v>
      </c>
      <c r="L120" s="39">
        <v>7052</v>
      </c>
      <c r="M120" s="30">
        <v>7484</v>
      </c>
      <c r="N120" s="69">
        <f t="shared" si="6"/>
        <v>7673</v>
      </c>
      <c r="R120" s="68">
        <v>432</v>
      </c>
    </row>
    <row r="121" spans="1:18" ht="15">
      <c r="A121" s="34" t="s">
        <v>192</v>
      </c>
      <c r="B121" s="16">
        <v>3018</v>
      </c>
      <c r="C121" s="35"/>
      <c r="D121" s="85"/>
      <c r="E121" s="36"/>
      <c r="F121" s="85"/>
      <c r="G121" s="36"/>
      <c r="H121" s="85"/>
      <c r="I121" s="37">
        <f>228</f>
        <v>228</v>
      </c>
      <c r="J121" s="85"/>
      <c r="K121" s="31">
        <f t="shared" si="8"/>
        <v>228</v>
      </c>
      <c r="L121" s="39">
        <v>5779.85</v>
      </c>
      <c r="M121" s="30">
        <v>5779.85</v>
      </c>
      <c r="N121" s="69">
        <f t="shared" si="6"/>
        <v>6007.85</v>
      </c>
      <c r="R121" s="68">
        <v>0</v>
      </c>
    </row>
    <row r="122" spans="1:18" ht="15">
      <c r="A122" s="34" t="s">
        <v>257</v>
      </c>
      <c r="B122" s="16">
        <v>3019</v>
      </c>
      <c r="C122" s="35"/>
      <c r="D122" s="85"/>
      <c r="E122" s="36"/>
      <c r="F122" s="85"/>
      <c r="G122" s="36"/>
      <c r="H122" s="85">
        <v>285</v>
      </c>
      <c r="I122" s="36"/>
      <c r="J122" s="85"/>
      <c r="K122" s="31">
        <f t="shared" si="8"/>
        <v>285</v>
      </c>
      <c r="L122" s="39">
        <v>1446</v>
      </c>
      <c r="M122" s="30">
        <v>1446</v>
      </c>
      <c r="N122" s="69">
        <f t="shared" si="6"/>
        <v>1731</v>
      </c>
      <c r="R122" s="68">
        <v>0</v>
      </c>
    </row>
    <row r="123" spans="1:18" ht="15">
      <c r="A123" s="34" t="s">
        <v>258</v>
      </c>
      <c r="B123" s="16">
        <v>3021</v>
      </c>
      <c r="C123" s="35"/>
      <c r="D123" s="85"/>
      <c r="E123" s="36"/>
      <c r="F123" s="85"/>
      <c r="G123" s="36"/>
      <c r="H123" s="85"/>
      <c r="I123" s="36">
        <f>55</f>
        <v>55</v>
      </c>
      <c r="J123" s="85"/>
      <c r="K123" s="31">
        <f t="shared" si="8"/>
        <v>55</v>
      </c>
      <c r="L123" s="39">
        <v>964</v>
      </c>
      <c r="M123" s="30">
        <v>964</v>
      </c>
      <c r="N123" s="69">
        <f t="shared" si="6"/>
        <v>1019</v>
      </c>
      <c r="R123" s="68">
        <v>0</v>
      </c>
    </row>
    <row r="124" spans="1:18" ht="15">
      <c r="A124" s="34" t="s">
        <v>42</v>
      </c>
      <c r="B124" s="16">
        <v>3022</v>
      </c>
      <c r="C124" s="35"/>
      <c r="D124" s="85"/>
      <c r="E124" s="37"/>
      <c r="F124" s="85"/>
      <c r="G124" s="36"/>
      <c r="H124" s="85"/>
      <c r="I124" s="36">
        <f>200</f>
        <v>200</v>
      </c>
      <c r="J124" s="85"/>
      <c r="K124" s="31">
        <f t="shared" si="8"/>
        <v>200</v>
      </c>
      <c r="L124" s="39">
        <v>1493</v>
      </c>
      <c r="M124" s="30">
        <v>1743</v>
      </c>
      <c r="N124" s="69">
        <f t="shared" si="6"/>
        <v>1943</v>
      </c>
      <c r="R124" s="68">
        <v>250</v>
      </c>
    </row>
    <row r="125" spans="1:18" ht="15">
      <c r="A125" s="34" t="s">
        <v>43</v>
      </c>
      <c r="B125" s="16">
        <v>3023</v>
      </c>
      <c r="C125" s="35"/>
      <c r="D125" s="85"/>
      <c r="E125" s="36"/>
      <c r="F125" s="85"/>
      <c r="G125" s="36"/>
      <c r="H125" s="85"/>
      <c r="I125" s="36"/>
      <c r="J125" s="85"/>
      <c r="K125" s="31">
        <f t="shared" si="8"/>
        <v>0</v>
      </c>
      <c r="L125" s="39">
        <v>1275</v>
      </c>
      <c r="M125" s="30">
        <v>1525</v>
      </c>
      <c r="N125" s="69">
        <f t="shared" si="6"/>
        <v>1525</v>
      </c>
      <c r="R125" s="68">
        <v>250</v>
      </c>
    </row>
    <row r="126" spans="1:18" ht="15">
      <c r="A126" s="34" t="s">
        <v>44</v>
      </c>
      <c r="B126" s="16">
        <v>3024</v>
      </c>
      <c r="C126" s="35">
        <v>200</v>
      </c>
      <c r="D126" s="83"/>
      <c r="E126" s="36"/>
      <c r="F126" s="83"/>
      <c r="G126" s="36"/>
      <c r="H126" s="83"/>
      <c r="I126" s="37"/>
      <c r="J126" s="83">
        <f>28</f>
        <v>28</v>
      </c>
      <c r="K126" s="31">
        <f t="shared" si="8"/>
        <v>228</v>
      </c>
      <c r="L126" s="39">
        <v>1299</v>
      </c>
      <c r="M126" s="30">
        <v>1419</v>
      </c>
      <c r="N126" s="69">
        <f t="shared" si="6"/>
        <v>1647</v>
      </c>
      <c r="R126" s="68">
        <v>120</v>
      </c>
    </row>
    <row r="127" spans="1:18" ht="15">
      <c r="A127" s="34" t="s">
        <v>259</v>
      </c>
      <c r="B127" s="16">
        <v>3025</v>
      </c>
      <c r="C127" s="35"/>
      <c r="D127" s="85"/>
      <c r="E127" s="36"/>
      <c r="F127" s="85"/>
      <c r="G127" s="36"/>
      <c r="H127" s="85"/>
      <c r="I127" s="36"/>
      <c r="J127" s="85"/>
      <c r="K127" s="31">
        <f t="shared" si="8"/>
        <v>0</v>
      </c>
      <c r="L127" s="39">
        <v>7791</v>
      </c>
      <c r="M127" s="30">
        <v>7791</v>
      </c>
      <c r="N127" s="69">
        <f t="shared" si="6"/>
        <v>7791</v>
      </c>
      <c r="R127" s="68">
        <v>0</v>
      </c>
    </row>
    <row r="128" spans="1:18" ht="15">
      <c r="A128" s="34" t="s">
        <v>260</v>
      </c>
      <c r="B128" s="16">
        <v>3026</v>
      </c>
      <c r="C128" s="35"/>
      <c r="D128" s="85"/>
      <c r="E128" s="36"/>
      <c r="F128" s="85"/>
      <c r="G128" s="36"/>
      <c r="H128" s="85"/>
      <c r="I128" s="36">
        <f>100</f>
        <v>100</v>
      </c>
      <c r="J128" s="85"/>
      <c r="K128" s="31">
        <f t="shared" si="8"/>
        <v>100</v>
      </c>
      <c r="L128" s="39">
        <v>3151</v>
      </c>
      <c r="M128" s="30">
        <v>3151</v>
      </c>
      <c r="N128" s="69">
        <f t="shared" si="6"/>
        <v>3251</v>
      </c>
      <c r="R128" s="68">
        <v>0</v>
      </c>
    </row>
    <row r="129" spans="1:18" ht="15">
      <c r="A129" s="34" t="s">
        <v>261</v>
      </c>
      <c r="B129" s="16">
        <v>3027</v>
      </c>
      <c r="C129" s="35"/>
      <c r="D129" s="85"/>
      <c r="E129" s="37"/>
      <c r="F129" s="85"/>
      <c r="G129" s="36"/>
      <c r="H129" s="85"/>
      <c r="I129" s="36"/>
      <c r="J129" s="85">
        <f>35</f>
        <v>35</v>
      </c>
      <c r="K129" s="31">
        <f t="shared" si="8"/>
        <v>35</v>
      </c>
      <c r="L129" s="39">
        <v>6205.6</v>
      </c>
      <c r="M129" s="30">
        <v>6265.6</v>
      </c>
      <c r="N129" s="69">
        <f t="shared" si="6"/>
        <v>6300.6</v>
      </c>
      <c r="R129" s="68">
        <v>60</v>
      </c>
    </row>
    <row r="130" spans="1:18" ht="15">
      <c r="A130" s="34" t="s">
        <v>45</v>
      </c>
      <c r="B130" s="16">
        <v>3028</v>
      </c>
      <c r="C130" s="40"/>
      <c r="D130" s="83"/>
      <c r="E130" s="36"/>
      <c r="F130" s="83"/>
      <c r="G130" s="36"/>
      <c r="H130" s="83"/>
      <c r="I130" s="36">
        <f>350+200+160+250</f>
        <v>960</v>
      </c>
      <c r="J130" s="83">
        <f>1649+558+46</f>
        <v>2253</v>
      </c>
      <c r="K130" s="31">
        <f t="shared" si="8"/>
        <v>3213</v>
      </c>
      <c r="L130" s="39">
        <v>5886.243</v>
      </c>
      <c r="M130" s="30">
        <v>5887.243</v>
      </c>
      <c r="N130" s="69">
        <f t="shared" si="6"/>
        <v>9100.243</v>
      </c>
      <c r="R130" s="68">
        <v>1</v>
      </c>
    </row>
    <row r="131" spans="1:18" ht="15">
      <c r="A131" s="34" t="s">
        <v>262</v>
      </c>
      <c r="B131" s="16">
        <v>3029</v>
      </c>
      <c r="C131" s="35"/>
      <c r="D131" s="85"/>
      <c r="E131" s="37"/>
      <c r="F131" s="85"/>
      <c r="G131" s="36"/>
      <c r="H131" s="85"/>
      <c r="I131" s="36"/>
      <c r="J131" s="85">
        <f>397+15</f>
        <v>412</v>
      </c>
      <c r="K131" s="31">
        <f t="shared" si="8"/>
        <v>412</v>
      </c>
      <c r="L131" s="39">
        <v>9992</v>
      </c>
      <c r="M131" s="30">
        <v>10423</v>
      </c>
      <c r="N131" s="69">
        <f t="shared" si="6"/>
        <v>10835</v>
      </c>
      <c r="R131" s="68">
        <v>431</v>
      </c>
    </row>
    <row r="132" spans="1:18" ht="15">
      <c r="A132" s="34" t="s">
        <v>46</v>
      </c>
      <c r="B132" s="16">
        <v>3031</v>
      </c>
      <c r="C132" s="35"/>
      <c r="D132" s="83"/>
      <c r="E132" s="36"/>
      <c r="F132" s="83"/>
      <c r="G132" s="36"/>
      <c r="H132" s="83">
        <v>282</v>
      </c>
      <c r="I132" s="36"/>
      <c r="J132" s="83"/>
      <c r="K132" s="31">
        <f t="shared" si="8"/>
        <v>282</v>
      </c>
      <c r="L132" s="39">
        <v>2736.54</v>
      </c>
      <c r="M132" s="30">
        <v>2736.54</v>
      </c>
      <c r="N132" s="69">
        <f t="shared" si="6"/>
        <v>3018.54</v>
      </c>
      <c r="R132" s="68">
        <v>0</v>
      </c>
    </row>
    <row r="133" spans="1:18" ht="15">
      <c r="A133" s="34" t="s">
        <v>157</v>
      </c>
      <c r="B133" s="16">
        <v>3032</v>
      </c>
      <c r="C133" s="35"/>
      <c r="D133" s="85"/>
      <c r="E133" s="36"/>
      <c r="F133" s="85"/>
      <c r="G133" s="36"/>
      <c r="H133" s="85"/>
      <c r="I133" s="36"/>
      <c r="J133" s="85"/>
      <c r="K133" s="31">
        <f t="shared" si="8"/>
        <v>0</v>
      </c>
      <c r="L133" s="39">
        <v>4339</v>
      </c>
      <c r="M133" s="30">
        <v>4339</v>
      </c>
      <c r="N133" s="69">
        <f aca="true" t="shared" si="9" ref="N133:N196">M133+K133</f>
        <v>4339</v>
      </c>
      <c r="R133" s="68">
        <v>0</v>
      </c>
    </row>
    <row r="134" spans="1:18" ht="15">
      <c r="A134" s="34" t="s">
        <v>145</v>
      </c>
      <c r="B134" s="16">
        <v>3033</v>
      </c>
      <c r="C134" s="35">
        <v>200</v>
      </c>
      <c r="D134" s="85"/>
      <c r="E134" s="36"/>
      <c r="F134" s="85"/>
      <c r="G134" s="36">
        <f>1</f>
        <v>1</v>
      </c>
      <c r="H134" s="85">
        <v>285</v>
      </c>
      <c r="I134" s="36">
        <f>150</f>
        <v>150</v>
      </c>
      <c r="J134" s="85">
        <f>701</f>
        <v>701</v>
      </c>
      <c r="K134" s="31">
        <f t="shared" si="8"/>
        <v>1337</v>
      </c>
      <c r="L134" s="39">
        <v>2322</v>
      </c>
      <c r="M134" s="30">
        <v>2412</v>
      </c>
      <c r="N134" s="69">
        <f t="shared" si="9"/>
        <v>3749</v>
      </c>
      <c r="R134" s="68">
        <v>90</v>
      </c>
    </row>
    <row r="135" spans="1:18" ht="15">
      <c r="A135" s="34" t="s">
        <v>263</v>
      </c>
      <c r="B135" s="16">
        <v>3034</v>
      </c>
      <c r="C135" s="35"/>
      <c r="D135" s="83"/>
      <c r="E135" s="36"/>
      <c r="F135" s="83"/>
      <c r="G135" s="36"/>
      <c r="H135" s="83"/>
      <c r="I135" s="36"/>
      <c r="J135" s="83"/>
      <c r="K135" s="31">
        <f t="shared" si="8"/>
        <v>0</v>
      </c>
      <c r="L135" s="39">
        <v>2112</v>
      </c>
      <c r="M135" s="30">
        <v>2420</v>
      </c>
      <c r="N135" s="69">
        <f t="shared" si="9"/>
        <v>2420</v>
      </c>
      <c r="R135" s="68">
        <v>308</v>
      </c>
    </row>
    <row r="136" spans="1:18" ht="15">
      <c r="A136" s="34" t="s">
        <v>146</v>
      </c>
      <c r="B136" s="16">
        <v>3035</v>
      </c>
      <c r="C136" s="35"/>
      <c r="D136" s="85"/>
      <c r="E136" s="36"/>
      <c r="F136" s="85"/>
      <c r="G136" s="36"/>
      <c r="H136" s="85"/>
      <c r="I136" s="36"/>
      <c r="J136" s="85"/>
      <c r="K136" s="31">
        <f t="shared" si="8"/>
        <v>0</v>
      </c>
      <c r="L136" s="39">
        <v>2519</v>
      </c>
      <c r="M136" s="30">
        <v>2829</v>
      </c>
      <c r="N136" s="69">
        <f t="shared" si="9"/>
        <v>2829</v>
      </c>
      <c r="R136" s="68">
        <v>310</v>
      </c>
    </row>
    <row r="137" spans="1:18" ht="15">
      <c r="A137" s="34" t="s">
        <v>264</v>
      </c>
      <c r="B137" s="16">
        <v>3036</v>
      </c>
      <c r="C137" s="35"/>
      <c r="D137" s="85"/>
      <c r="E137" s="36"/>
      <c r="F137" s="85"/>
      <c r="G137" s="36"/>
      <c r="H137" s="85"/>
      <c r="I137" s="36"/>
      <c r="J137" s="85"/>
      <c r="K137" s="31">
        <f aca="true" t="shared" si="10" ref="K137:K168">SUM(C137:J137)</f>
        <v>0</v>
      </c>
      <c r="L137" s="39">
        <v>240</v>
      </c>
      <c r="M137" s="30">
        <v>240</v>
      </c>
      <c r="N137" s="69">
        <f t="shared" si="9"/>
        <v>240</v>
      </c>
      <c r="R137" s="68">
        <v>0</v>
      </c>
    </row>
    <row r="138" spans="1:18" ht="15">
      <c r="A138" s="34" t="s">
        <v>265</v>
      </c>
      <c r="B138" s="16">
        <v>3037</v>
      </c>
      <c r="C138" s="35"/>
      <c r="D138" s="83"/>
      <c r="E138" s="36"/>
      <c r="F138" s="83"/>
      <c r="G138" s="36"/>
      <c r="H138" s="83"/>
      <c r="I138" s="36"/>
      <c r="J138" s="83"/>
      <c r="K138" s="31">
        <f t="shared" si="10"/>
        <v>0</v>
      </c>
      <c r="L138" s="39">
        <v>1836</v>
      </c>
      <c r="M138" s="30">
        <v>1901</v>
      </c>
      <c r="N138" s="69">
        <f t="shared" si="9"/>
        <v>1901</v>
      </c>
      <c r="R138" s="68">
        <v>65</v>
      </c>
    </row>
    <row r="139" spans="1:18" ht="15">
      <c r="A139" s="34" t="s">
        <v>266</v>
      </c>
      <c r="B139" s="16">
        <v>3038</v>
      </c>
      <c r="C139" s="35"/>
      <c r="D139" s="83"/>
      <c r="E139" s="36"/>
      <c r="F139" s="83"/>
      <c r="G139" s="36"/>
      <c r="H139" s="83">
        <v>285</v>
      </c>
      <c r="I139" s="36"/>
      <c r="J139" s="83"/>
      <c r="K139" s="31">
        <f t="shared" si="10"/>
        <v>285</v>
      </c>
      <c r="L139" s="39">
        <v>8941</v>
      </c>
      <c r="M139" s="30">
        <v>8941</v>
      </c>
      <c r="N139" s="69">
        <f t="shared" si="9"/>
        <v>9226</v>
      </c>
      <c r="R139" s="68">
        <v>0</v>
      </c>
    </row>
    <row r="140" spans="1:18" ht="15">
      <c r="A140" s="34" t="s">
        <v>204</v>
      </c>
      <c r="B140" s="16">
        <v>3039</v>
      </c>
      <c r="C140" s="35">
        <f>2541</f>
        <v>2541</v>
      </c>
      <c r="D140" s="85"/>
      <c r="E140" s="36"/>
      <c r="F140" s="85"/>
      <c r="G140" s="36"/>
      <c r="H140" s="85"/>
      <c r="I140" s="36">
        <f>150</f>
        <v>150</v>
      </c>
      <c r="J140" s="85"/>
      <c r="K140" s="31">
        <f t="shared" si="10"/>
        <v>2691</v>
      </c>
      <c r="L140" s="39">
        <v>3472.76</v>
      </c>
      <c r="M140" s="30">
        <v>5064.76</v>
      </c>
      <c r="N140" s="69">
        <f t="shared" si="9"/>
        <v>7755.76</v>
      </c>
      <c r="R140" s="68">
        <v>1592</v>
      </c>
    </row>
    <row r="141" spans="1:18" ht="15">
      <c r="A141" s="34" t="s">
        <v>267</v>
      </c>
      <c r="B141" s="16">
        <v>3041</v>
      </c>
      <c r="C141" s="35"/>
      <c r="D141" s="85"/>
      <c r="E141" s="36"/>
      <c r="F141" s="85"/>
      <c r="G141" s="36"/>
      <c r="H141" s="85"/>
      <c r="I141" s="36">
        <f>110</f>
        <v>110</v>
      </c>
      <c r="J141" s="85"/>
      <c r="K141" s="31">
        <f t="shared" si="10"/>
        <v>110</v>
      </c>
      <c r="L141" s="39">
        <v>602</v>
      </c>
      <c r="M141" s="30">
        <v>744</v>
      </c>
      <c r="N141" s="69">
        <f t="shared" si="9"/>
        <v>854</v>
      </c>
      <c r="R141" s="68">
        <v>142</v>
      </c>
    </row>
    <row r="142" spans="1:18" ht="27">
      <c r="A142" s="34" t="s">
        <v>268</v>
      </c>
      <c r="B142" s="16">
        <v>3042</v>
      </c>
      <c r="C142" s="35"/>
      <c r="D142" s="85"/>
      <c r="E142" s="36"/>
      <c r="F142" s="85"/>
      <c r="G142" s="36"/>
      <c r="H142" s="85"/>
      <c r="I142" s="36"/>
      <c r="J142" s="85"/>
      <c r="K142" s="31">
        <f t="shared" si="10"/>
        <v>0</v>
      </c>
      <c r="L142" s="39">
        <v>223</v>
      </c>
      <c r="M142" s="30">
        <v>223</v>
      </c>
      <c r="N142" s="69">
        <f t="shared" si="9"/>
        <v>223</v>
      </c>
      <c r="R142" s="68">
        <v>0</v>
      </c>
    </row>
    <row r="143" spans="1:18" ht="15">
      <c r="A143" s="34" t="s">
        <v>269</v>
      </c>
      <c r="B143" s="16">
        <v>3043</v>
      </c>
      <c r="C143" s="35"/>
      <c r="D143" s="85"/>
      <c r="E143" s="36"/>
      <c r="F143" s="85"/>
      <c r="G143" s="36"/>
      <c r="H143" s="85"/>
      <c r="I143" s="36">
        <f>200</f>
        <v>200</v>
      </c>
      <c r="J143" s="85"/>
      <c r="K143" s="31">
        <f t="shared" si="10"/>
        <v>200</v>
      </c>
      <c r="L143" s="39">
        <v>655</v>
      </c>
      <c r="M143" s="30">
        <v>655</v>
      </c>
      <c r="N143" s="69">
        <f t="shared" si="9"/>
        <v>855</v>
      </c>
      <c r="R143" s="68">
        <v>0</v>
      </c>
    </row>
    <row r="144" spans="1:18" ht="15">
      <c r="A144" s="34" t="s">
        <v>193</v>
      </c>
      <c r="B144" s="16">
        <v>3044</v>
      </c>
      <c r="C144" s="35"/>
      <c r="D144" s="85"/>
      <c r="E144" s="36"/>
      <c r="F144" s="85"/>
      <c r="G144" s="36"/>
      <c r="H144" s="85">
        <v>285</v>
      </c>
      <c r="I144" s="36"/>
      <c r="J144" s="85"/>
      <c r="K144" s="31">
        <f t="shared" si="10"/>
        <v>285</v>
      </c>
      <c r="L144" s="39">
        <v>2260</v>
      </c>
      <c r="M144" s="30">
        <v>2260</v>
      </c>
      <c r="N144" s="69">
        <f t="shared" si="9"/>
        <v>2545</v>
      </c>
      <c r="R144" s="68">
        <v>0</v>
      </c>
    </row>
    <row r="145" spans="1:18" ht="15">
      <c r="A145" s="34" t="s">
        <v>47</v>
      </c>
      <c r="B145" s="16">
        <v>3045</v>
      </c>
      <c r="C145" s="35"/>
      <c r="D145" s="85"/>
      <c r="E145" s="37"/>
      <c r="F145" s="85"/>
      <c r="G145" s="36"/>
      <c r="H145" s="85"/>
      <c r="I145" s="37">
        <f>95</f>
        <v>95</v>
      </c>
      <c r="J145" s="85">
        <f>544</f>
        <v>544</v>
      </c>
      <c r="K145" s="31">
        <f>SUM(C145:J145)</f>
        <v>639</v>
      </c>
      <c r="L145" s="39">
        <v>20459</v>
      </c>
      <c r="M145" s="30">
        <v>20932</v>
      </c>
      <c r="N145" s="69">
        <f t="shared" si="9"/>
        <v>21571</v>
      </c>
      <c r="R145" s="68">
        <v>473</v>
      </c>
    </row>
    <row r="146" spans="1:18" ht="15">
      <c r="A146" s="34" t="s">
        <v>158</v>
      </c>
      <c r="B146" s="16">
        <v>3046</v>
      </c>
      <c r="C146" s="35"/>
      <c r="D146" s="85"/>
      <c r="E146" s="36"/>
      <c r="F146" s="85"/>
      <c r="G146" s="36"/>
      <c r="H146" s="85"/>
      <c r="I146" s="36">
        <v>200</v>
      </c>
      <c r="J146" s="85">
        <f>10</f>
        <v>10</v>
      </c>
      <c r="K146" s="31">
        <f t="shared" si="10"/>
        <v>210</v>
      </c>
      <c r="L146" s="39">
        <v>1199</v>
      </c>
      <c r="M146" s="30">
        <v>1261</v>
      </c>
      <c r="N146" s="69">
        <f t="shared" si="9"/>
        <v>1471</v>
      </c>
      <c r="R146" s="68">
        <v>62</v>
      </c>
    </row>
    <row r="147" spans="1:18" ht="15">
      <c r="A147" s="34" t="s">
        <v>270</v>
      </c>
      <c r="B147" s="16">
        <v>3047</v>
      </c>
      <c r="C147" s="35"/>
      <c r="D147" s="85"/>
      <c r="E147" s="36"/>
      <c r="F147" s="85"/>
      <c r="G147" s="36"/>
      <c r="H147" s="85"/>
      <c r="I147" s="36"/>
      <c r="J147" s="85"/>
      <c r="K147" s="31">
        <f t="shared" si="10"/>
        <v>0</v>
      </c>
      <c r="L147" s="39">
        <v>1605</v>
      </c>
      <c r="M147" s="30">
        <v>1605</v>
      </c>
      <c r="N147" s="69">
        <f t="shared" si="9"/>
        <v>1605</v>
      </c>
      <c r="R147" s="68">
        <v>0</v>
      </c>
    </row>
    <row r="148" spans="1:18" ht="15">
      <c r="A148" s="34" t="s">
        <v>159</v>
      </c>
      <c r="B148" s="16">
        <v>3048</v>
      </c>
      <c r="C148" s="35">
        <v>200</v>
      </c>
      <c r="D148" s="85"/>
      <c r="E148" s="36"/>
      <c r="F148" s="85"/>
      <c r="G148" s="36"/>
      <c r="H148" s="85"/>
      <c r="I148" s="36"/>
      <c r="J148" s="85"/>
      <c r="K148" s="31">
        <f t="shared" si="10"/>
        <v>200</v>
      </c>
      <c r="L148" s="39">
        <v>488</v>
      </c>
      <c r="M148" s="30">
        <v>706</v>
      </c>
      <c r="N148" s="69">
        <f t="shared" si="9"/>
        <v>906</v>
      </c>
      <c r="R148" s="68">
        <v>218</v>
      </c>
    </row>
    <row r="149" spans="1:18" ht="15">
      <c r="A149" s="34" t="s">
        <v>48</v>
      </c>
      <c r="B149" s="16">
        <v>3049</v>
      </c>
      <c r="C149" s="35"/>
      <c r="D149" s="85"/>
      <c r="E149" s="37"/>
      <c r="F149" s="85"/>
      <c r="G149" s="36"/>
      <c r="H149" s="85"/>
      <c r="I149" s="36"/>
      <c r="J149" s="85"/>
      <c r="K149" s="31">
        <f t="shared" si="10"/>
        <v>0</v>
      </c>
      <c r="L149" s="39">
        <v>4632</v>
      </c>
      <c r="M149" s="30">
        <v>5587</v>
      </c>
      <c r="N149" s="69">
        <f t="shared" si="9"/>
        <v>5587</v>
      </c>
      <c r="R149" s="68">
        <v>955</v>
      </c>
    </row>
    <row r="150" spans="1:18" ht="15">
      <c r="A150" s="34" t="s">
        <v>49</v>
      </c>
      <c r="B150" s="16">
        <v>3051</v>
      </c>
      <c r="C150" s="35"/>
      <c r="D150" s="85"/>
      <c r="E150" s="36"/>
      <c r="F150" s="85"/>
      <c r="G150" s="36"/>
      <c r="H150" s="85"/>
      <c r="I150" s="36">
        <f>120</f>
        <v>120</v>
      </c>
      <c r="J150" s="85"/>
      <c r="K150" s="31">
        <f t="shared" si="10"/>
        <v>120</v>
      </c>
      <c r="L150" s="39">
        <v>2176</v>
      </c>
      <c r="M150" s="30">
        <v>2236</v>
      </c>
      <c r="N150" s="69">
        <f t="shared" si="9"/>
        <v>2356</v>
      </c>
      <c r="R150" s="68">
        <v>60</v>
      </c>
    </row>
    <row r="151" spans="1:18" ht="15">
      <c r="A151" s="34" t="s">
        <v>271</v>
      </c>
      <c r="B151" s="16">
        <v>3052</v>
      </c>
      <c r="C151" s="35"/>
      <c r="D151" s="85"/>
      <c r="E151" s="36"/>
      <c r="F151" s="85"/>
      <c r="G151" s="36"/>
      <c r="H151" s="85"/>
      <c r="I151" s="36"/>
      <c r="J151" s="85"/>
      <c r="K151" s="31">
        <f t="shared" si="10"/>
        <v>0</v>
      </c>
      <c r="L151" s="39">
        <v>2600</v>
      </c>
      <c r="M151" s="30">
        <v>2600</v>
      </c>
      <c r="N151" s="69">
        <f t="shared" si="9"/>
        <v>2600</v>
      </c>
      <c r="R151" s="68">
        <v>0</v>
      </c>
    </row>
    <row r="152" spans="1:18" ht="15">
      <c r="A152" s="34" t="s">
        <v>272</v>
      </c>
      <c r="B152" s="16">
        <v>3053</v>
      </c>
      <c r="C152" s="35"/>
      <c r="D152" s="83"/>
      <c r="E152" s="36"/>
      <c r="F152" s="83"/>
      <c r="G152" s="36"/>
      <c r="H152" s="83"/>
      <c r="I152" s="36"/>
      <c r="J152" s="83">
        <f>10</f>
        <v>10</v>
      </c>
      <c r="K152" s="31">
        <f t="shared" si="10"/>
        <v>10</v>
      </c>
      <c r="L152" s="39">
        <v>2256.5</v>
      </c>
      <c r="M152" s="30">
        <v>2446.5</v>
      </c>
      <c r="N152" s="69">
        <f t="shared" si="9"/>
        <v>2456.5</v>
      </c>
      <c r="R152" s="68">
        <v>190</v>
      </c>
    </row>
    <row r="153" spans="1:18" ht="15">
      <c r="A153" s="34" t="s">
        <v>160</v>
      </c>
      <c r="B153" s="16">
        <v>3054</v>
      </c>
      <c r="C153" s="35"/>
      <c r="D153" s="85"/>
      <c r="E153" s="36"/>
      <c r="F153" s="85"/>
      <c r="G153" s="36"/>
      <c r="H153" s="85"/>
      <c r="I153" s="36"/>
      <c r="J153" s="85">
        <f>447</f>
        <v>447</v>
      </c>
      <c r="K153" s="31">
        <f t="shared" si="10"/>
        <v>447</v>
      </c>
      <c r="L153" s="39">
        <v>2765</v>
      </c>
      <c r="M153" s="30">
        <v>3315</v>
      </c>
      <c r="N153" s="69">
        <f t="shared" si="9"/>
        <v>3762</v>
      </c>
      <c r="R153" s="68">
        <v>550</v>
      </c>
    </row>
    <row r="154" spans="1:18" ht="15">
      <c r="A154" s="34" t="s">
        <v>50</v>
      </c>
      <c r="B154" s="16">
        <v>3055</v>
      </c>
      <c r="C154" s="35"/>
      <c r="D154" s="83">
        <f>100+2030+600</f>
        <v>2730</v>
      </c>
      <c r="E154" s="37"/>
      <c r="F154" s="83"/>
      <c r="G154" s="37">
        <f>28+25</f>
        <v>53</v>
      </c>
      <c r="H154" s="83"/>
      <c r="I154" s="36">
        <f>40</f>
        <v>40</v>
      </c>
      <c r="J154" s="83">
        <f>1773</f>
        <v>1773</v>
      </c>
      <c r="K154" s="31">
        <f t="shared" si="10"/>
        <v>4596</v>
      </c>
      <c r="L154" s="39">
        <v>73209.82713</v>
      </c>
      <c r="M154" s="30">
        <v>76300.82713</v>
      </c>
      <c r="N154" s="69">
        <f t="shared" si="9"/>
        <v>80896.82713</v>
      </c>
      <c r="R154" s="68">
        <v>3091</v>
      </c>
    </row>
    <row r="155" spans="1:18" ht="15">
      <c r="A155" s="34" t="s">
        <v>133</v>
      </c>
      <c r="B155" s="16">
        <v>3056</v>
      </c>
      <c r="C155" s="35">
        <v>935</v>
      </c>
      <c r="D155" s="85"/>
      <c r="E155" s="36"/>
      <c r="F155" s="85"/>
      <c r="G155" s="36"/>
      <c r="H155" s="85"/>
      <c r="I155" s="37"/>
      <c r="J155" s="85"/>
      <c r="K155" s="31">
        <f t="shared" si="10"/>
        <v>935</v>
      </c>
      <c r="L155" s="39">
        <v>5568.975</v>
      </c>
      <c r="M155" s="30">
        <v>8301.975</v>
      </c>
      <c r="N155" s="69">
        <f t="shared" si="9"/>
        <v>9236.975</v>
      </c>
      <c r="R155" s="68">
        <v>2733</v>
      </c>
    </row>
    <row r="156" spans="1:18" ht="15">
      <c r="A156" s="34" t="s">
        <v>51</v>
      </c>
      <c r="B156" s="16">
        <v>3057</v>
      </c>
      <c r="C156" s="35">
        <v>375</v>
      </c>
      <c r="D156" s="83">
        <f>30</f>
        <v>30</v>
      </c>
      <c r="E156" s="36"/>
      <c r="F156" s="83"/>
      <c r="G156" s="36"/>
      <c r="H156" s="83"/>
      <c r="I156" s="36"/>
      <c r="J156" s="83">
        <f>83</f>
        <v>83</v>
      </c>
      <c r="K156" s="31">
        <f t="shared" si="10"/>
        <v>488</v>
      </c>
      <c r="L156" s="39">
        <v>2409</v>
      </c>
      <c r="M156" s="30">
        <v>2489</v>
      </c>
      <c r="N156" s="69">
        <f t="shared" si="9"/>
        <v>2977</v>
      </c>
      <c r="R156" s="68">
        <v>80</v>
      </c>
    </row>
    <row r="157" spans="1:18" ht="15">
      <c r="A157" s="34" t="s">
        <v>52</v>
      </c>
      <c r="B157" s="16">
        <v>3058</v>
      </c>
      <c r="C157" s="35"/>
      <c r="D157" s="83"/>
      <c r="E157" s="37">
        <f>76+50</f>
        <v>126</v>
      </c>
      <c r="F157" s="83"/>
      <c r="G157" s="36">
        <f>36</f>
        <v>36</v>
      </c>
      <c r="H157" s="83"/>
      <c r="I157" s="36">
        <f>124</f>
        <v>124</v>
      </c>
      <c r="J157" s="83">
        <f>483</f>
        <v>483</v>
      </c>
      <c r="K157" s="31">
        <f t="shared" si="10"/>
        <v>769</v>
      </c>
      <c r="L157" s="39">
        <v>7521.37</v>
      </c>
      <c r="M157" s="30">
        <v>8509.369999999999</v>
      </c>
      <c r="N157" s="69">
        <f t="shared" si="9"/>
        <v>9278.369999999999</v>
      </c>
      <c r="R157" s="68">
        <v>988</v>
      </c>
    </row>
    <row r="158" spans="1:18" ht="15">
      <c r="A158" s="34" t="s">
        <v>53</v>
      </c>
      <c r="B158" s="16">
        <v>3059</v>
      </c>
      <c r="C158" s="35"/>
      <c r="D158" s="85"/>
      <c r="E158" s="37"/>
      <c r="F158" s="85"/>
      <c r="G158" s="36"/>
      <c r="H158" s="85"/>
      <c r="I158" s="37"/>
      <c r="J158" s="85"/>
      <c r="K158" s="31">
        <f t="shared" si="10"/>
        <v>0</v>
      </c>
      <c r="L158" s="39">
        <v>4256</v>
      </c>
      <c r="M158" s="30">
        <v>4541</v>
      </c>
      <c r="N158" s="69">
        <f t="shared" si="9"/>
        <v>4541</v>
      </c>
      <c r="R158" s="68">
        <v>285</v>
      </c>
    </row>
    <row r="159" spans="1:18" ht="15">
      <c r="A159" s="34" t="s">
        <v>54</v>
      </c>
      <c r="B159" s="16">
        <v>3061</v>
      </c>
      <c r="C159" s="35"/>
      <c r="D159" s="85"/>
      <c r="E159" s="36"/>
      <c r="F159" s="85"/>
      <c r="G159" s="36"/>
      <c r="H159" s="85"/>
      <c r="I159" s="36"/>
      <c r="J159" s="85"/>
      <c r="K159" s="31">
        <f t="shared" si="10"/>
        <v>0</v>
      </c>
      <c r="L159" s="39">
        <v>6328.35</v>
      </c>
      <c r="M159" s="30">
        <v>6669.35</v>
      </c>
      <c r="N159" s="69">
        <f t="shared" si="9"/>
        <v>6669.35</v>
      </c>
      <c r="R159" s="68">
        <v>341</v>
      </c>
    </row>
    <row r="160" spans="1:18" ht="15">
      <c r="A160" s="34" t="s">
        <v>161</v>
      </c>
      <c r="B160" s="16">
        <v>3062</v>
      </c>
      <c r="C160" s="35"/>
      <c r="D160" s="83"/>
      <c r="E160" s="36"/>
      <c r="F160" s="83"/>
      <c r="G160" s="36"/>
      <c r="H160" s="83"/>
      <c r="I160" s="36"/>
      <c r="J160" s="83"/>
      <c r="K160" s="31">
        <f t="shared" si="10"/>
        <v>0</v>
      </c>
      <c r="L160" s="39">
        <v>1212</v>
      </c>
      <c r="M160" s="30">
        <v>1503</v>
      </c>
      <c r="N160" s="69">
        <f t="shared" si="9"/>
        <v>1503</v>
      </c>
      <c r="R160" s="68">
        <v>291</v>
      </c>
    </row>
    <row r="161" spans="1:18" ht="15">
      <c r="A161" s="34" t="s">
        <v>273</v>
      </c>
      <c r="B161" s="17">
        <v>3063</v>
      </c>
      <c r="C161" s="35"/>
      <c r="D161" s="85"/>
      <c r="E161" s="36"/>
      <c r="F161" s="85"/>
      <c r="G161" s="36">
        <f>2</f>
        <v>2</v>
      </c>
      <c r="H161" s="85">
        <v>285</v>
      </c>
      <c r="I161" s="37">
        <f>97</f>
        <v>97</v>
      </c>
      <c r="J161" s="85"/>
      <c r="K161" s="31">
        <f t="shared" si="10"/>
        <v>384</v>
      </c>
      <c r="L161" s="39">
        <v>12575</v>
      </c>
      <c r="M161" s="30">
        <v>12875</v>
      </c>
      <c r="N161" s="69">
        <f t="shared" si="9"/>
        <v>13259</v>
      </c>
      <c r="R161" s="68">
        <v>300</v>
      </c>
    </row>
    <row r="162" spans="1:18" ht="15">
      <c r="A162" s="34" t="s">
        <v>274</v>
      </c>
      <c r="B162" s="15">
        <v>3064</v>
      </c>
      <c r="C162" s="35"/>
      <c r="D162" s="85"/>
      <c r="E162" s="36"/>
      <c r="F162" s="85"/>
      <c r="G162" s="36"/>
      <c r="H162" s="85"/>
      <c r="I162" s="36"/>
      <c r="J162" s="85"/>
      <c r="K162" s="31">
        <f t="shared" si="10"/>
        <v>0</v>
      </c>
      <c r="L162" s="39">
        <v>851</v>
      </c>
      <c r="M162" s="30">
        <v>851</v>
      </c>
      <c r="N162" s="69">
        <f t="shared" si="9"/>
        <v>851</v>
      </c>
      <c r="R162" s="68">
        <v>0</v>
      </c>
    </row>
    <row r="163" spans="1:18" ht="15">
      <c r="A163" s="34" t="s">
        <v>275</v>
      </c>
      <c r="B163" s="16">
        <v>3065</v>
      </c>
      <c r="C163" s="35"/>
      <c r="D163" s="85"/>
      <c r="E163" s="36"/>
      <c r="F163" s="85"/>
      <c r="G163" s="36"/>
      <c r="H163" s="85"/>
      <c r="I163" s="36"/>
      <c r="J163" s="85"/>
      <c r="K163" s="31">
        <f t="shared" si="10"/>
        <v>0</v>
      </c>
      <c r="L163" s="39">
        <v>1004</v>
      </c>
      <c r="M163" s="30">
        <v>1289</v>
      </c>
      <c r="N163" s="69">
        <f t="shared" si="9"/>
        <v>1289</v>
      </c>
      <c r="R163" s="68">
        <v>285</v>
      </c>
    </row>
    <row r="164" spans="1:18" ht="15">
      <c r="A164" s="34" t="s">
        <v>276</v>
      </c>
      <c r="B164" s="16">
        <v>3066</v>
      </c>
      <c r="C164" s="35"/>
      <c r="D164" s="85"/>
      <c r="E164" s="36"/>
      <c r="F164" s="85"/>
      <c r="G164" s="36"/>
      <c r="H164" s="85"/>
      <c r="I164" s="37">
        <f>283</f>
        <v>283</v>
      </c>
      <c r="J164" s="85"/>
      <c r="K164" s="31">
        <f t="shared" si="10"/>
        <v>283</v>
      </c>
      <c r="L164" s="39">
        <v>1381</v>
      </c>
      <c r="M164" s="30">
        <v>1381</v>
      </c>
      <c r="N164" s="69">
        <f t="shared" si="9"/>
        <v>1664</v>
      </c>
      <c r="R164" s="68">
        <v>0</v>
      </c>
    </row>
    <row r="165" spans="1:18" ht="15">
      <c r="A165" s="34" t="s">
        <v>55</v>
      </c>
      <c r="B165" s="16">
        <v>3067</v>
      </c>
      <c r="C165" s="40"/>
      <c r="D165" s="85"/>
      <c r="E165" s="36"/>
      <c r="F165" s="85"/>
      <c r="G165" s="36"/>
      <c r="H165" s="85"/>
      <c r="I165" s="36">
        <f>558+40</f>
        <v>598</v>
      </c>
      <c r="J165" s="85"/>
      <c r="K165" s="31">
        <f t="shared" si="10"/>
        <v>598</v>
      </c>
      <c r="L165" s="39">
        <v>5878</v>
      </c>
      <c r="M165" s="30">
        <v>6013</v>
      </c>
      <c r="N165" s="69">
        <f t="shared" si="9"/>
        <v>6611</v>
      </c>
      <c r="R165" s="68">
        <v>135</v>
      </c>
    </row>
    <row r="166" spans="1:18" ht="15">
      <c r="A166" s="34" t="s">
        <v>277</v>
      </c>
      <c r="B166" s="16">
        <v>3068</v>
      </c>
      <c r="C166" s="35"/>
      <c r="D166" s="85"/>
      <c r="E166" s="37"/>
      <c r="F166" s="85"/>
      <c r="G166" s="36"/>
      <c r="H166" s="85"/>
      <c r="I166" s="36"/>
      <c r="J166" s="85"/>
      <c r="K166" s="31">
        <f t="shared" si="10"/>
        <v>0</v>
      </c>
      <c r="L166" s="39">
        <v>7722</v>
      </c>
      <c r="M166" s="30">
        <v>7722</v>
      </c>
      <c r="N166" s="69">
        <f t="shared" si="9"/>
        <v>7722</v>
      </c>
      <c r="R166" s="68">
        <v>0</v>
      </c>
    </row>
    <row r="167" spans="1:18" ht="15">
      <c r="A167" s="34" t="s">
        <v>278</v>
      </c>
      <c r="B167" s="16">
        <v>3069</v>
      </c>
      <c r="C167" s="40"/>
      <c r="D167" s="83"/>
      <c r="E167" s="36"/>
      <c r="F167" s="83"/>
      <c r="G167" s="36"/>
      <c r="H167" s="83">
        <v>285</v>
      </c>
      <c r="I167" s="36">
        <f>300</f>
        <v>300</v>
      </c>
      <c r="J167" s="83">
        <f>1203</f>
        <v>1203</v>
      </c>
      <c r="K167" s="31">
        <f t="shared" si="10"/>
        <v>1788</v>
      </c>
      <c r="L167" s="39">
        <v>4851</v>
      </c>
      <c r="M167" s="30">
        <v>4851</v>
      </c>
      <c r="N167" s="69">
        <f t="shared" si="9"/>
        <v>6639</v>
      </c>
      <c r="R167" s="68">
        <v>0</v>
      </c>
    </row>
    <row r="168" spans="1:18" ht="15">
      <c r="A168" s="34" t="s">
        <v>56</v>
      </c>
      <c r="B168" s="16">
        <v>3071</v>
      </c>
      <c r="C168" s="35">
        <v>2256</v>
      </c>
      <c r="D168" s="85"/>
      <c r="E168" s="36"/>
      <c r="F168" s="85"/>
      <c r="G168" s="36"/>
      <c r="H168" s="85"/>
      <c r="I168" s="36"/>
      <c r="J168" s="85"/>
      <c r="K168" s="31">
        <f t="shared" si="10"/>
        <v>2256</v>
      </c>
      <c r="L168" s="39">
        <v>1051.62606</v>
      </c>
      <c r="M168" s="30">
        <v>3751.62606</v>
      </c>
      <c r="N168" s="69">
        <f t="shared" si="9"/>
        <v>6007.6260600000005</v>
      </c>
      <c r="R168" s="68">
        <v>2700</v>
      </c>
    </row>
    <row r="169" spans="1:18" ht="15">
      <c r="A169" s="34" t="s">
        <v>279</v>
      </c>
      <c r="B169" s="16">
        <v>3072</v>
      </c>
      <c r="C169" s="35"/>
      <c r="D169" s="85"/>
      <c r="E169" s="36"/>
      <c r="F169" s="85"/>
      <c r="G169" s="36"/>
      <c r="H169" s="85"/>
      <c r="I169" s="36"/>
      <c r="J169" s="85"/>
      <c r="K169" s="31">
        <f aca="true" t="shared" si="11" ref="K169:K200">SUM(C169:J169)</f>
        <v>0</v>
      </c>
      <c r="L169" s="39">
        <v>1444</v>
      </c>
      <c r="M169" s="30">
        <v>1444</v>
      </c>
      <c r="N169" s="69">
        <f t="shared" si="9"/>
        <v>1444</v>
      </c>
      <c r="R169" s="68">
        <v>0</v>
      </c>
    </row>
    <row r="170" spans="1:18" ht="15">
      <c r="A170" s="34" t="s">
        <v>57</v>
      </c>
      <c r="B170" s="16">
        <v>3073</v>
      </c>
      <c r="C170" s="40"/>
      <c r="D170" s="83"/>
      <c r="E170" s="36"/>
      <c r="F170" s="83"/>
      <c r="G170" s="36"/>
      <c r="H170" s="83"/>
      <c r="I170" s="36">
        <f>72+250</f>
        <v>322</v>
      </c>
      <c r="J170" s="83">
        <f>15</f>
        <v>15</v>
      </c>
      <c r="K170" s="31">
        <f t="shared" si="11"/>
        <v>337</v>
      </c>
      <c r="L170" s="39">
        <v>7198.876</v>
      </c>
      <c r="M170" s="30">
        <v>7243.876</v>
      </c>
      <c r="N170" s="69">
        <f t="shared" si="9"/>
        <v>7580.876</v>
      </c>
      <c r="R170" s="68">
        <v>45</v>
      </c>
    </row>
    <row r="171" spans="1:18" ht="15">
      <c r="A171" s="34" t="s">
        <v>280</v>
      </c>
      <c r="B171" s="16">
        <v>3074</v>
      </c>
      <c r="C171" s="35"/>
      <c r="D171" s="83"/>
      <c r="E171" s="36"/>
      <c r="F171" s="83"/>
      <c r="G171" s="36"/>
      <c r="H171" s="83"/>
      <c r="I171" s="36"/>
      <c r="J171" s="83"/>
      <c r="K171" s="31">
        <f t="shared" si="11"/>
        <v>0</v>
      </c>
      <c r="L171" s="39">
        <v>1992</v>
      </c>
      <c r="M171" s="30">
        <v>1992</v>
      </c>
      <c r="N171" s="69">
        <f t="shared" si="9"/>
        <v>1992</v>
      </c>
      <c r="R171" s="68">
        <v>0</v>
      </c>
    </row>
    <row r="172" spans="1:18" ht="15">
      <c r="A172" s="34" t="s">
        <v>58</v>
      </c>
      <c r="B172" s="16">
        <v>3075</v>
      </c>
      <c r="C172" s="35"/>
      <c r="D172" s="85"/>
      <c r="E172" s="36">
        <f>24</f>
        <v>24</v>
      </c>
      <c r="F172" s="85"/>
      <c r="G172" s="36">
        <f>58</f>
        <v>58</v>
      </c>
      <c r="H172" s="85">
        <v>145</v>
      </c>
      <c r="I172" s="36">
        <f>150</f>
        <v>150</v>
      </c>
      <c r="J172" s="85">
        <f>175</f>
        <v>175</v>
      </c>
      <c r="K172" s="31">
        <f t="shared" si="11"/>
        <v>552</v>
      </c>
      <c r="L172" s="39">
        <v>5524</v>
      </c>
      <c r="M172" s="30">
        <v>5524</v>
      </c>
      <c r="N172" s="69">
        <f t="shared" si="9"/>
        <v>6076</v>
      </c>
      <c r="R172" s="68">
        <v>0</v>
      </c>
    </row>
    <row r="173" spans="1:18" ht="27">
      <c r="A173" s="34" t="s">
        <v>281</v>
      </c>
      <c r="B173" s="16">
        <v>3076</v>
      </c>
      <c r="C173" s="35"/>
      <c r="D173" s="85"/>
      <c r="E173" s="36"/>
      <c r="F173" s="85"/>
      <c r="G173" s="36"/>
      <c r="H173" s="85"/>
      <c r="I173" s="36">
        <f>134</f>
        <v>134</v>
      </c>
      <c r="J173" s="85"/>
      <c r="K173" s="31">
        <f t="shared" si="11"/>
        <v>134</v>
      </c>
      <c r="L173" s="39">
        <v>42515</v>
      </c>
      <c r="M173" s="30">
        <v>42515</v>
      </c>
      <c r="N173" s="69">
        <f t="shared" si="9"/>
        <v>42649</v>
      </c>
      <c r="R173" s="68">
        <v>0</v>
      </c>
    </row>
    <row r="174" spans="1:18" ht="15">
      <c r="A174" s="34" t="s">
        <v>282</v>
      </c>
      <c r="B174" s="16">
        <v>3077</v>
      </c>
      <c r="C174" s="35"/>
      <c r="D174" s="85"/>
      <c r="E174" s="37"/>
      <c r="F174" s="85"/>
      <c r="G174" s="36"/>
      <c r="H174" s="85"/>
      <c r="I174" s="36"/>
      <c r="J174" s="85"/>
      <c r="K174" s="31">
        <f t="shared" si="11"/>
        <v>0</v>
      </c>
      <c r="L174" s="39">
        <v>2303</v>
      </c>
      <c r="M174" s="30">
        <v>2303</v>
      </c>
      <c r="N174" s="69">
        <f t="shared" si="9"/>
        <v>2303</v>
      </c>
      <c r="R174" s="68">
        <v>0</v>
      </c>
    </row>
    <row r="175" spans="1:18" ht="15">
      <c r="A175" s="34" t="s">
        <v>59</v>
      </c>
      <c r="B175" s="16">
        <v>3078</v>
      </c>
      <c r="C175" s="35"/>
      <c r="D175" s="85"/>
      <c r="E175" s="36"/>
      <c r="F175" s="85"/>
      <c r="G175" s="36"/>
      <c r="H175" s="85">
        <v>285</v>
      </c>
      <c r="I175" s="36"/>
      <c r="J175" s="85"/>
      <c r="K175" s="31">
        <f t="shared" si="11"/>
        <v>285</v>
      </c>
      <c r="L175" s="39">
        <v>262.5</v>
      </c>
      <c r="M175" s="30">
        <v>612.5</v>
      </c>
      <c r="N175" s="69">
        <f t="shared" si="9"/>
        <v>897.5</v>
      </c>
      <c r="R175" s="68">
        <v>350</v>
      </c>
    </row>
    <row r="176" spans="1:18" ht="15">
      <c r="A176" s="34" t="s">
        <v>283</v>
      </c>
      <c r="B176" s="16">
        <v>3079</v>
      </c>
      <c r="C176" s="40"/>
      <c r="D176" s="85"/>
      <c r="E176" s="36"/>
      <c r="F176" s="85"/>
      <c r="G176" s="36"/>
      <c r="H176" s="85"/>
      <c r="I176" s="36">
        <f>200</f>
        <v>200</v>
      </c>
      <c r="J176" s="85"/>
      <c r="K176" s="31">
        <f t="shared" si="11"/>
        <v>200</v>
      </c>
      <c r="L176" s="39">
        <v>1883</v>
      </c>
      <c r="M176" s="30">
        <v>1883</v>
      </c>
      <c r="N176" s="69">
        <f t="shared" si="9"/>
        <v>2083</v>
      </c>
      <c r="R176" s="68">
        <v>0</v>
      </c>
    </row>
    <row r="177" spans="1:18" ht="15">
      <c r="A177" s="34" t="s">
        <v>162</v>
      </c>
      <c r="B177" s="16">
        <v>3081</v>
      </c>
      <c r="C177" s="35"/>
      <c r="D177" s="85"/>
      <c r="E177" s="36"/>
      <c r="F177" s="85"/>
      <c r="G177" s="36"/>
      <c r="H177" s="85"/>
      <c r="I177" s="37"/>
      <c r="J177" s="85"/>
      <c r="K177" s="31">
        <f t="shared" si="11"/>
        <v>0</v>
      </c>
      <c r="L177" s="39">
        <v>4787</v>
      </c>
      <c r="M177" s="30">
        <v>4787</v>
      </c>
      <c r="N177" s="69">
        <f t="shared" si="9"/>
        <v>4787</v>
      </c>
      <c r="R177" s="68">
        <v>0</v>
      </c>
    </row>
    <row r="178" spans="1:18" ht="15">
      <c r="A178" s="34" t="s">
        <v>284</v>
      </c>
      <c r="B178" s="16">
        <v>3082</v>
      </c>
      <c r="C178" s="35"/>
      <c r="D178" s="83"/>
      <c r="E178" s="36"/>
      <c r="F178" s="83"/>
      <c r="G178" s="36"/>
      <c r="H178" s="83"/>
      <c r="I178" s="36"/>
      <c r="J178" s="83"/>
      <c r="K178" s="31">
        <f t="shared" si="11"/>
        <v>0</v>
      </c>
      <c r="L178" s="39">
        <v>9</v>
      </c>
      <c r="M178" s="30">
        <v>9</v>
      </c>
      <c r="N178" s="69">
        <f t="shared" si="9"/>
        <v>9</v>
      </c>
      <c r="R178" s="68">
        <v>0</v>
      </c>
    </row>
    <row r="179" spans="1:18" ht="27">
      <c r="A179" s="34" t="s">
        <v>60</v>
      </c>
      <c r="B179" s="16">
        <v>3083</v>
      </c>
      <c r="C179" s="35"/>
      <c r="D179" s="85"/>
      <c r="E179" s="36"/>
      <c r="F179" s="85">
        <f>3000</f>
        <v>3000</v>
      </c>
      <c r="G179" s="36">
        <f>248</f>
        <v>248</v>
      </c>
      <c r="H179" s="85"/>
      <c r="I179" s="36">
        <f>144+150</f>
        <v>294</v>
      </c>
      <c r="J179" s="85">
        <f>25</f>
        <v>25</v>
      </c>
      <c r="K179" s="31">
        <f t="shared" si="11"/>
        <v>3567</v>
      </c>
      <c r="L179" s="39">
        <v>21546.41</v>
      </c>
      <c r="M179" s="30">
        <v>25447.41</v>
      </c>
      <c r="N179" s="69">
        <f t="shared" si="9"/>
        <v>29014.41</v>
      </c>
      <c r="R179" s="68">
        <v>3901</v>
      </c>
    </row>
    <row r="180" spans="1:18" ht="15">
      <c r="A180" s="34" t="s">
        <v>61</v>
      </c>
      <c r="B180" s="16">
        <v>3084</v>
      </c>
      <c r="C180" s="35"/>
      <c r="D180" s="85"/>
      <c r="E180" s="36"/>
      <c r="F180" s="85"/>
      <c r="G180" s="36"/>
      <c r="H180" s="85"/>
      <c r="I180" s="36"/>
      <c r="J180" s="85"/>
      <c r="K180" s="31">
        <f t="shared" si="11"/>
        <v>0</v>
      </c>
      <c r="L180" s="39">
        <v>350</v>
      </c>
      <c r="M180" s="30">
        <v>487</v>
      </c>
      <c r="N180" s="69">
        <f t="shared" si="9"/>
        <v>487</v>
      </c>
      <c r="R180" s="68">
        <v>137</v>
      </c>
    </row>
    <row r="181" spans="1:18" ht="15">
      <c r="A181" s="34" t="s">
        <v>163</v>
      </c>
      <c r="B181" s="16">
        <v>3085</v>
      </c>
      <c r="C181" s="35"/>
      <c r="D181" s="85"/>
      <c r="E181" s="36"/>
      <c r="F181" s="85"/>
      <c r="G181" s="36"/>
      <c r="H181" s="85">
        <v>140</v>
      </c>
      <c r="I181" s="36"/>
      <c r="J181" s="85"/>
      <c r="K181" s="31">
        <f t="shared" si="11"/>
        <v>140</v>
      </c>
      <c r="L181" s="39">
        <v>3291.23</v>
      </c>
      <c r="M181" s="30">
        <v>3291.23</v>
      </c>
      <c r="N181" s="69">
        <f t="shared" si="9"/>
        <v>3431.23</v>
      </c>
      <c r="R181" s="68">
        <v>0</v>
      </c>
    </row>
    <row r="182" spans="1:18" ht="15">
      <c r="A182" s="34" t="s">
        <v>62</v>
      </c>
      <c r="B182" s="16">
        <v>3086</v>
      </c>
      <c r="C182" s="35"/>
      <c r="D182" s="85"/>
      <c r="E182" s="37"/>
      <c r="F182" s="85"/>
      <c r="G182" s="36"/>
      <c r="H182" s="85">
        <v>350</v>
      </c>
      <c r="I182" s="36"/>
      <c r="J182" s="85">
        <f>200</f>
        <v>200</v>
      </c>
      <c r="K182" s="31">
        <f t="shared" si="11"/>
        <v>550</v>
      </c>
      <c r="L182" s="39">
        <v>5887.693</v>
      </c>
      <c r="M182" s="30">
        <v>6792.693</v>
      </c>
      <c r="N182" s="69">
        <f t="shared" si="9"/>
        <v>7342.693</v>
      </c>
      <c r="R182" s="68">
        <v>905</v>
      </c>
    </row>
    <row r="183" spans="1:18" ht="15">
      <c r="A183" s="34" t="s">
        <v>285</v>
      </c>
      <c r="B183" s="16">
        <v>3087</v>
      </c>
      <c r="C183" s="35"/>
      <c r="D183" s="85"/>
      <c r="E183" s="36"/>
      <c r="F183" s="85"/>
      <c r="G183" s="36"/>
      <c r="H183" s="85"/>
      <c r="I183" s="36"/>
      <c r="J183" s="85"/>
      <c r="K183" s="31">
        <f t="shared" si="11"/>
        <v>0</v>
      </c>
      <c r="L183" s="39">
        <v>3260</v>
      </c>
      <c r="M183" s="30">
        <v>3260</v>
      </c>
      <c r="N183" s="69">
        <f t="shared" si="9"/>
        <v>3260</v>
      </c>
      <c r="R183" s="68">
        <v>0</v>
      </c>
    </row>
    <row r="184" spans="1:18" ht="15">
      <c r="A184" s="34" t="s">
        <v>174</v>
      </c>
      <c r="B184" s="16">
        <v>3088</v>
      </c>
      <c r="C184" s="35"/>
      <c r="D184" s="85"/>
      <c r="E184" s="36"/>
      <c r="F184" s="85"/>
      <c r="G184" s="36"/>
      <c r="H184" s="85"/>
      <c r="I184" s="36"/>
      <c r="J184" s="85"/>
      <c r="K184" s="31">
        <f t="shared" si="11"/>
        <v>0</v>
      </c>
      <c r="L184" s="39">
        <v>1277</v>
      </c>
      <c r="M184" s="30">
        <v>1277</v>
      </c>
      <c r="N184" s="69">
        <f t="shared" si="9"/>
        <v>1277</v>
      </c>
      <c r="R184" s="68">
        <v>0</v>
      </c>
    </row>
    <row r="185" spans="1:18" ht="27">
      <c r="A185" s="34" t="s">
        <v>286</v>
      </c>
      <c r="B185" s="16">
        <v>3089</v>
      </c>
      <c r="C185" s="35"/>
      <c r="D185" s="85"/>
      <c r="E185" s="36"/>
      <c r="F185" s="85"/>
      <c r="G185" s="36"/>
      <c r="H185" s="85"/>
      <c r="I185" s="36"/>
      <c r="J185" s="85"/>
      <c r="K185" s="31">
        <f t="shared" si="11"/>
        <v>0</v>
      </c>
      <c r="L185" s="39">
        <v>5538.5</v>
      </c>
      <c r="M185" s="30">
        <v>5538.5</v>
      </c>
      <c r="N185" s="69">
        <f t="shared" si="9"/>
        <v>5538.5</v>
      </c>
      <c r="R185" s="68">
        <v>0</v>
      </c>
    </row>
    <row r="186" spans="1:18" ht="15">
      <c r="A186" s="34" t="s">
        <v>287</v>
      </c>
      <c r="B186" s="16">
        <v>3091</v>
      </c>
      <c r="C186" s="35"/>
      <c r="D186" s="85"/>
      <c r="E186" s="36">
        <v>17</v>
      </c>
      <c r="F186" s="85"/>
      <c r="G186" s="36"/>
      <c r="H186" s="85"/>
      <c r="I186" s="36"/>
      <c r="J186" s="85"/>
      <c r="K186" s="31">
        <f t="shared" si="11"/>
        <v>17</v>
      </c>
      <c r="L186" s="39">
        <v>1465</v>
      </c>
      <c r="M186" s="30">
        <v>1465</v>
      </c>
      <c r="N186" s="69">
        <f t="shared" si="9"/>
        <v>1482</v>
      </c>
      <c r="R186" s="68">
        <v>0</v>
      </c>
    </row>
    <row r="187" spans="1:18" ht="15">
      <c r="A187" s="34" t="s">
        <v>288</v>
      </c>
      <c r="B187" s="16">
        <v>3092</v>
      </c>
      <c r="C187" s="35"/>
      <c r="D187" s="83">
        <f>200</f>
        <v>200</v>
      </c>
      <c r="E187" s="36">
        <v>71</v>
      </c>
      <c r="F187" s="83"/>
      <c r="G187" s="36"/>
      <c r="H187" s="83"/>
      <c r="I187" s="36">
        <f>350</f>
        <v>350</v>
      </c>
      <c r="J187" s="83"/>
      <c r="K187" s="31">
        <f t="shared" si="11"/>
        <v>621</v>
      </c>
      <c r="L187" s="39">
        <v>11654.035</v>
      </c>
      <c r="M187" s="30">
        <v>14688.035</v>
      </c>
      <c r="N187" s="69">
        <f t="shared" si="9"/>
        <v>15309.035</v>
      </c>
      <c r="R187" s="68">
        <v>3034</v>
      </c>
    </row>
    <row r="188" spans="1:18" ht="15">
      <c r="A188" s="34" t="s">
        <v>63</v>
      </c>
      <c r="B188" s="16">
        <v>3093</v>
      </c>
      <c r="C188" s="35"/>
      <c r="D188" s="83"/>
      <c r="E188" s="36"/>
      <c r="F188" s="83"/>
      <c r="G188" s="36">
        <f>2</f>
        <v>2</v>
      </c>
      <c r="H188" s="83"/>
      <c r="I188" s="36">
        <f>350</f>
        <v>350</v>
      </c>
      <c r="J188" s="83">
        <f>500</f>
        <v>500</v>
      </c>
      <c r="K188" s="31">
        <f t="shared" si="11"/>
        <v>852</v>
      </c>
      <c r="L188" s="39">
        <v>77541</v>
      </c>
      <c r="M188" s="30">
        <v>78280</v>
      </c>
      <c r="N188" s="69">
        <f t="shared" si="9"/>
        <v>79132</v>
      </c>
      <c r="R188" s="68">
        <v>739</v>
      </c>
    </row>
    <row r="189" spans="1:18" ht="15">
      <c r="A189" s="34" t="s">
        <v>64</v>
      </c>
      <c r="B189" s="16">
        <v>3094</v>
      </c>
      <c r="C189" s="35"/>
      <c r="D189" s="85"/>
      <c r="E189" s="36"/>
      <c r="F189" s="85"/>
      <c r="G189" s="36"/>
      <c r="H189" s="85"/>
      <c r="I189" s="36"/>
      <c r="J189" s="85"/>
      <c r="K189" s="31">
        <f t="shared" si="11"/>
        <v>0</v>
      </c>
      <c r="L189" s="39">
        <v>4588</v>
      </c>
      <c r="M189" s="30">
        <v>4796</v>
      </c>
      <c r="N189" s="69">
        <f t="shared" si="9"/>
        <v>4796</v>
      </c>
      <c r="R189" s="68">
        <v>208</v>
      </c>
    </row>
    <row r="190" spans="1:18" ht="15">
      <c r="A190" s="34" t="s">
        <v>65</v>
      </c>
      <c r="B190" s="16">
        <v>3095</v>
      </c>
      <c r="C190" s="35"/>
      <c r="D190" s="85"/>
      <c r="E190" s="36"/>
      <c r="F190" s="85"/>
      <c r="G190" s="36"/>
      <c r="H190" s="85">
        <v>191</v>
      </c>
      <c r="I190" s="37"/>
      <c r="J190" s="85">
        <f>34</f>
        <v>34</v>
      </c>
      <c r="K190" s="31">
        <f t="shared" si="11"/>
        <v>225</v>
      </c>
      <c r="L190" s="39">
        <v>1991</v>
      </c>
      <c r="M190" s="30">
        <v>2241</v>
      </c>
      <c r="N190" s="69">
        <f t="shared" si="9"/>
        <v>2466</v>
      </c>
      <c r="R190" s="68">
        <v>250</v>
      </c>
    </row>
    <row r="191" spans="1:18" ht="15">
      <c r="A191" s="34" t="s">
        <v>289</v>
      </c>
      <c r="B191" s="16">
        <v>3096</v>
      </c>
      <c r="C191" s="35">
        <v>645</v>
      </c>
      <c r="D191" s="83">
        <f>147</f>
        <v>147</v>
      </c>
      <c r="E191" s="37"/>
      <c r="F191" s="83"/>
      <c r="G191" s="36"/>
      <c r="H191" s="83">
        <v>579</v>
      </c>
      <c r="I191" s="36">
        <f>52+58</f>
        <v>110</v>
      </c>
      <c r="J191" s="83">
        <f>500+25</f>
        <v>525</v>
      </c>
      <c r="K191" s="31">
        <f t="shared" si="11"/>
        <v>2006</v>
      </c>
      <c r="L191" s="39">
        <v>8440</v>
      </c>
      <c r="M191" s="30">
        <v>8695</v>
      </c>
      <c r="N191" s="69">
        <f t="shared" si="9"/>
        <v>10701</v>
      </c>
      <c r="R191" s="68">
        <v>255</v>
      </c>
    </row>
    <row r="192" spans="1:18" ht="15">
      <c r="A192" s="34" t="s">
        <v>66</v>
      </c>
      <c r="B192" s="16">
        <v>3097</v>
      </c>
      <c r="C192" s="35"/>
      <c r="D192" s="83"/>
      <c r="E192" s="37"/>
      <c r="F192" s="83"/>
      <c r="G192" s="36"/>
      <c r="H192" s="83"/>
      <c r="I192" s="36"/>
      <c r="J192" s="83"/>
      <c r="K192" s="31">
        <f t="shared" si="11"/>
        <v>0</v>
      </c>
      <c r="L192" s="39">
        <v>8671.063</v>
      </c>
      <c r="M192" s="30">
        <v>8782.063</v>
      </c>
      <c r="N192" s="69">
        <f t="shared" si="9"/>
        <v>8782.063</v>
      </c>
      <c r="R192" s="68">
        <v>111</v>
      </c>
    </row>
    <row r="193" spans="1:18" ht="15">
      <c r="A193" s="34" t="s">
        <v>290</v>
      </c>
      <c r="B193" s="16">
        <v>3098</v>
      </c>
      <c r="C193" s="40"/>
      <c r="D193" s="83"/>
      <c r="E193" s="36"/>
      <c r="F193" s="83"/>
      <c r="G193" s="36"/>
      <c r="H193" s="83"/>
      <c r="I193" s="36"/>
      <c r="J193" s="83">
        <f>67</f>
        <v>67</v>
      </c>
      <c r="K193" s="31">
        <f t="shared" si="11"/>
        <v>67</v>
      </c>
      <c r="L193" s="39">
        <v>1354</v>
      </c>
      <c r="M193" s="30">
        <v>1354</v>
      </c>
      <c r="N193" s="69">
        <f t="shared" si="9"/>
        <v>1421</v>
      </c>
      <c r="R193" s="68">
        <v>0</v>
      </c>
    </row>
    <row r="194" spans="1:18" ht="15">
      <c r="A194" s="34" t="s">
        <v>67</v>
      </c>
      <c r="B194" s="16">
        <v>3099</v>
      </c>
      <c r="C194" s="35">
        <v>50</v>
      </c>
      <c r="D194" s="85">
        <f>210</f>
        <v>210</v>
      </c>
      <c r="E194" s="36"/>
      <c r="F194" s="85"/>
      <c r="G194" s="36"/>
      <c r="H194" s="85"/>
      <c r="I194" s="36"/>
      <c r="J194" s="85"/>
      <c r="K194" s="31">
        <f t="shared" si="11"/>
        <v>260</v>
      </c>
      <c r="L194" s="39">
        <v>658</v>
      </c>
      <c r="M194" s="30">
        <v>863</v>
      </c>
      <c r="N194" s="69">
        <f t="shared" si="9"/>
        <v>1123</v>
      </c>
      <c r="R194" s="68">
        <v>205</v>
      </c>
    </row>
    <row r="195" spans="1:18" ht="15">
      <c r="A195" s="34" t="s">
        <v>68</v>
      </c>
      <c r="B195" s="16">
        <v>3101</v>
      </c>
      <c r="C195" s="35"/>
      <c r="D195" s="83">
        <f>101+117</f>
        <v>218</v>
      </c>
      <c r="E195" s="36"/>
      <c r="F195" s="83"/>
      <c r="G195" s="36"/>
      <c r="H195" s="83"/>
      <c r="I195" s="36"/>
      <c r="J195" s="83"/>
      <c r="K195" s="31">
        <f t="shared" si="11"/>
        <v>218</v>
      </c>
      <c r="L195" s="39">
        <v>18602</v>
      </c>
      <c r="M195" s="30">
        <v>22692</v>
      </c>
      <c r="N195" s="69">
        <f t="shared" si="9"/>
        <v>22910</v>
      </c>
      <c r="R195" s="68">
        <v>4090</v>
      </c>
    </row>
    <row r="196" spans="1:18" ht="15">
      <c r="A196" s="34" t="s">
        <v>291</v>
      </c>
      <c r="B196" s="16">
        <v>3102</v>
      </c>
      <c r="C196" s="35"/>
      <c r="D196" s="85"/>
      <c r="E196" s="36"/>
      <c r="F196" s="85"/>
      <c r="G196" s="36"/>
      <c r="H196" s="85"/>
      <c r="I196" s="37"/>
      <c r="J196" s="85"/>
      <c r="K196" s="31">
        <f t="shared" si="11"/>
        <v>0</v>
      </c>
      <c r="L196" s="39">
        <v>3156</v>
      </c>
      <c r="M196" s="30">
        <v>3166</v>
      </c>
      <c r="N196" s="69">
        <f t="shared" si="9"/>
        <v>3166</v>
      </c>
      <c r="R196" s="68">
        <v>10</v>
      </c>
    </row>
    <row r="197" spans="1:18" ht="15">
      <c r="A197" s="34" t="s">
        <v>164</v>
      </c>
      <c r="B197" s="16">
        <v>3103</v>
      </c>
      <c r="C197" s="35"/>
      <c r="D197" s="85"/>
      <c r="E197" s="36">
        <v>21</v>
      </c>
      <c r="F197" s="85"/>
      <c r="G197" s="36"/>
      <c r="H197" s="85"/>
      <c r="I197" s="36"/>
      <c r="J197" s="85"/>
      <c r="K197" s="31">
        <f t="shared" si="11"/>
        <v>21</v>
      </c>
      <c r="L197" s="39">
        <v>8923</v>
      </c>
      <c r="M197" s="30">
        <v>9303</v>
      </c>
      <c r="N197" s="69">
        <f aca="true" t="shared" si="12" ref="N197:N260">M197+K197</f>
        <v>9324</v>
      </c>
      <c r="R197" s="68">
        <v>380</v>
      </c>
    </row>
    <row r="198" spans="1:18" ht="15">
      <c r="A198" s="34" t="s">
        <v>69</v>
      </c>
      <c r="B198" s="16">
        <v>3104</v>
      </c>
      <c r="C198" s="40"/>
      <c r="D198" s="83">
        <f>459</f>
        <v>459</v>
      </c>
      <c r="E198" s="36"/>
      <c r="F198" s="83"/>
      <c r="G198" s="36"/>
      <c r="H198" s="83"/>
      <c r="I198" s="37">
        <f>94</f>
        <v>94</v>
      </c>
      <c r="J198" s="83"/>
      <c r="K198" s="31">
        <f t="shared" si="11"/>
        <v>553</v>
      </c>
      <c r="L198" s="39">
        <v>4212.885</v>
      </c>
      <c r="M198" s="30">
        <v>4462.885</v>
      </c>
      <c r="N198" s="69">
        <f t="shared" si="12"/>
        <v>5015.885</v>
      </c>
      <c r="R198" s="68">
        <v>250</v>
      </c>
    </row>
    <row r="199" spans="1:18" ht="15">
      <c r="A199" s="34" t="s">
        <v>70</v>
      </c>
      <c r="B199" s="16">
        <v>3105</v>
      </c>
      <c r="C199" s="35"/>
      <c r="D199" s="85"/>
      <c r="E199" s="36"/>
      <c r="F199" s="85"/>
      <c r="G199" s="36"/>
      <c r="H199" s="85"/>
      <c r="I199" s="36"/>
      <c r="J199" s="85">
        <f>186</f>
        <v>186</v>
      </c>
      <c r="K199" s="31">
        <f t="shared" si="11"/>
        <v>186</v>
      </c>
      <c r="L199" s="39">
        <v>1183</v>
      </c>
      <c r="M199" s="30">
        <v>1343</v>
      </c>
      <c r="N199" s="69">
        <f t="shared" si="12"/>
        <v>1529</v>
      </c>
      <c r="R199" s="68">
        <v>160</v>
      </c>
    </row>
    <row r="200" spans="1:18" ht="15">
      <c r="A200" s="34" t="s">
        <v>292</v>
      </c>
      <c r="B200" s="16">
        <v>3106</v>
      </c>
      <c r="C200" s="35"/>
      <c r="D200" s="85">
        <f>263</f>
        <v>263</v>
      </c>
      <c r="E200" s="36"/>
      <c r="F200" s="85"/>
      <c r="G200" s="36"/>
      <c r="H200" s="85"/>
      <c r="I200" s="36">
        <f>285</f>
        <v>285</v>
      </c>
      <c r="J200" s="85"/>
      <c r="K200" s="31">
        <f t="shared" si="11"/>
        <v>548</v>
      </c>
      <c r="L200" s="39">
        <v>3758.3559999999998</v>
      </c>
      <c r="M200" s="30">
        <v>3758.3559999999998</v>
      </c>
      <c r="N200" s="69">
        <f t="shared" si="12"/>
        <v>4306.356</v>
      </c>
      <c r="R200" s="68">
        <v>0</v>
      </c>
    </row>
    <row r="201" spans="1:18" ht="15">
      <c r="A201" s="34" t="s">
        <v>293</v>
      </c>
      <c r="B201" s="16">
        <v>3107</v>
      </c>
      <c r="C201" s="35"/>
      <c r="D201" s="83"/>
      <c r="E201" s="36"/>
      <c r="F201" s="83"/>
      <c r="G201" s="36"/>
      <c r="H201" s="83"/>
      <c r="I201" s="37"/>
      <c r="J201" s="83"/>
      <c r="K201" s="31">
        <f aca="true" t="shared" si="13" ref="K201:K209">SUM(C201:J201)</f>
        <v>0</v>
      </c>
      <c r="L201" s="39">
        <v>2460</v>
      </c>
      <c r="M201" s="30">
        <v>2460</v>
      </c>
      <c r="N201" s="69">
        <f t="shared" si="12"/>
        <v>2460</v>
      </c>
      <c r="R201" s="68">
        <v>0</v>
      </c>
    </row>
    <row r="202" spans="1:18" ht="15">
      <c r="A202" s="34" t="s">
        <v>71</v>
      </c>
      <c r="B202" s="16">
        <v>3108</v>
      </c>
      <c r="C202" s="40"/>
      <c r="D202" s="85"/>
      <c r="E202" s="36"/>
      <c r="F202" s="85"/>
      <c r="G202" s="36"/>
      <c r="H202" s="85"/>
      <c r="I202" s="37"/>
      <c r="J202" s="85"/>
      <c r="K202" s="31">
        <f t="shared" si="13"/>
        <v>0</v>
      </c>
      <c r="L202" s="39">
        <v>15461.724</v>
      </c>
      <c r="M202" s="30">
        <v>18675.724000000002</v>
      </c>
      <c r="N202" s="69">
        <f t="shared" si="12"/>
        <v>18675.724000000002</v>
      </c>
      <c r="R202" s="68">
        <v>3214</v>
      </c>
    </row>
    <row r="203" spans="1:18" ht="15">
      <c r="A203" s="34" t="s">
        <v>72</v>
      </c>
      <c r="B203" s="16">
        <v>3109</v>
      </c>
      <c r="C203" s="35"/>
      <c r="D203" s="85"/>
      <c r="E203" s="36"/>
      <c r="F203" s="85"/>
      <c r="G203" s="36"/>
      <c r="H203" s="85"/>
      <c r="I203" s="36"/>
      <c r="J203" s="85"/>
      <c r="K203" s="31">
        <f t="shared" si="13"/>
        <v>0</v>
      </c>
      <c r="L203" s="39">
        <v>575</v>
      </c>
      <c r="M203" s="30">
        <v>935</v>
      </c>
      <c r="N203" s="69">
        <f t="shared" si="12"/>
        <v>935</v>
      </c>
      <c r="R203" s="68">
        <v>360</v>
      </c>
    </row>
    <row r="204" spans="1:18" ht="15">
      <c r="A204" s="34" t="s">
        <v>165</v>
      </c>
      <c r="B204" s="16">
        <v>3111</v>
      </c>
      <c r="C204" s="35"/>
      <c r="D204" s="85"/>
      <c r="E204" s="36"/>
      <c r="F204" s="85"/>
      <c r="G204" s="36"/>
      <c r="H204" s="85"/>
      <c r="I204" s="36"/>
      <c r="J204" s="85"/>
      <c r="K204" s="31">
        <f t="shared" si="13"/>
        <v>0</v>
      </c>
      <c r="L204" s="39">
        <v>6805.993</v>
      </c>
      <c r="M204" s="30">
        <v>6805.993</v>
      </c>
      <c r="N204" s="69">
        <f t="shared" si="12"/>
        <v>6805.993</v>
      </c>
      <c r="R204" s="68">
        <v>0</v>
      </c>
    </row>
    <row r="205" spans="1:18" ht="15">
      <c r="A205" s="34" t="s">
        <v>73</v>
      </c>
      <c r="B205" s="16">
        <v>3112</v>
      </c>
      <c r="C205" s="35"/>
      <c r="D205" s="85"/>
      <c r="E205" s="36"/>
      <c r="F205" s="85"/>
      <c r="G205" s="36"/>
      <c r="H205" s="85">
        <v>348</v>
      </c>
      <c r="I205" s="36"/>
      <c r="J205" s="85"/>
      <c r="K205" s="31">
        <f t="shared" si="13"/>
        <v>348</v>
      </c>
      <c r="L205" s="39">
        <v>3699.6</v>
      </c>
      <c r="M205" s="30">
        <v>3699.6</v>
      </c>
      <c r="N205" s="69">
        <f t="shared" si="12"/>
        <v>4047.6</v>
      </c>
      <c r="R205" s="68">
        <v>0</v>
      </c>
    </row>
    <row r="206" spans="1:18" ht="15">
      <c r="A206" s="34" t="s">
        <v>194</v>
      </c>
      <c r="B206" s="16">
        <v>3113</v>
      </c>
      <c r="C206" s="35"/>
      <c r="D206" s="85"/>
      <c r="E206" s="36"/>
      <c r="F206" s="85"/>
      <c r="G206" s="36"/>
      <c r="H206" s="85"/>
      <c r="I206" s="36"/>
      <c r="J206" s="85"/>
      <c r="K206" s="31">
        <f t="shared" si="13"/>
        <v>0</v>
      </c>
      <c r="L206" s="39">
        <v>758</v>
      </c>
      <c r="M206" s="30">
        <v>758</v>
      </c>
      <c r="N206" s="69">
        <f t="shared" si="12"/>
        <v>758</v>
      </c>
      <c r="R206" s="68">
        <v>0</v>
      </c>
    </row>
    <row r="207" spans="1:18" ht="15">
      <c r="A207" s="34" t="s">
        <v>166</v>
      </c>
      <c r="B207" s="17">
        <v>3114</v>
      </c>
      <c r="C207" s="35"/>
      <c r="D207" s="85"/>
      <c r="E207" s="36"/>
      <c r="F207" s="85"/>
      <c r="G207" s="36"/>
      <c r="H207" s="85"/>
      <c r="I207" s="37"/>
      <c r="J207" s="85"/>
      <c r="K207" s="31">
        <f t="shared" si="13"/>
        <v>0</v>
      </c>
      <c r="L207" s="39">
        <v>2861</v>
      </c>
      <c r="M207" s="30">
        <v>3117</v>
      </c>
      <c r="N207" s="69">
        <f t="shared" si="12"/>
        <v>3117</v>
      </c>
      <c r="R207" s="68">
        <v>256</v>
      </c>
    </row>
    <row r="208" spans="1:18" ht="15">
      <c r="A208" s="34" t="s">
        <v>294</v>
      </c>
      <c r="B208" s="15">
        <v>3115</v>
      </c>
      <c r="C208" s="35"/>
      <c r="D208" s="85"/>
      <c r="E208" s="36"/>
      <c r="F208" s="85"/>
      <c r="G208" s="36"/>
      <c r="H208" s="85"/>
      <c r="I208" s="37">
        <f>250</f>
        <v>250</v>
      </c>
      <c r="J208" s="85"/>
      <c r="K208" s="31">
        <f t="shared" si="13"/>
        <v>250</v>
      </c>
      <c r="L208" s="39">
        <v>2676</v>
      </c>
      <c r="M208" s="30">
        <v>2676</v>
      </c>
      <c r="N208" s="69">
        <f t="shared" si="12"/>
        <v>2926</v>
      </c>
      <c r="R208" s="68">
        <v>0</v>
      </c>
    </row>
    <row r="209" spans="1:18" ht="15">
      <c r="A209" s="34" t="s">
        <v>295</v>
      </c>
      <c r="B209" s="18">
        <v>3116</v>
      </c>
      <c r="C209" s="35"/>
      <c r="D209" s="85"/>
      <c r="E209" s="36"/>
      <c r="F209" s="85"/>
      <c r="G209" s="36"/>
      <c r="H209" s="85"/>
      <c r="I209" s="36">
        <f>100</f>
        <v>100</v>
      </c>
      <c r="J209" s="85"/>
      <c r="K209" s="31">
        <f t="shared" si="13"/>
        <v>100</v>
      </c>
      <c r="L209" s="39">
        <v>4014</v>
      </c>
      <c r="M209" s="30">
        <v>4014</v>
      </c>
      <c r="N209" s="69">
        <f t="shared" si="12"/>
        <v>4114</v>
      </c>
      <c r="R209" s="68">
        <v>0</v>
      </c>
    </row>
    <row r="210" spans="1:44" s="9" customFormat="1" ht="15">
      <c r="A210" s="77" t="s">
        <v>296</v>
      </c>
      <c r="B210" s="79"/>
      <c r="C210" s="76">
        <f>SUM(C211:C280)</f>
        <v>3131</v>
      </c>
      <c r="D210" s="38">
        <f aca="true" t="shared" si="14" ref="D210:J210">SUM(D211:D280)</f>
        <v>2775</v>
      </c>
      <c r="E210" s="38">
        <f t="shared" si="14"/>
        <v>855</v>
      </c>
      <c r="F210" s="38">
        <f t="shared" si="14"/>
        <v>19820</v>
      </c>
      <c r="G210" s="38">
        <f t="shared" si="14"/>
        <v>750</v>
      </c>
      <c r="H210" s="38">
        <f t="shared" si="14"/>
        <v>4895</v>
      </c>
      <c r="I210" s="38">
        <f>SUM(I211:I280)</f>
        <v>8486</v>
      </c>
      <c r="J210" s="38">
        <f t="shared" si="14"/>
        <v>3652</v>
      </c>
      <c r="K210" s="38">
        <f>SUM(K211:K280)</f>
        <v>44363</v>
      </c>
      <c r="L210" s="32">
        <v>442688.456</v>
      </c>
      <c r="M210" s="33">
        <v>484733.456</v>
      </c>
      <c r="N210" s="69">
        <f t="shared" si="12"/>
        <v>529096.456</v>
      </c>
      <c r="O210" s="1"/>
      <c r="P210" s="1"/>
      <c r="Q210" s="1"/>
      <c r="R210" s="68">
        <v>42046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18" ht="15">
      <c r="A211" s="34" t="s">
        <v>297</v>
      </c>
      <c r="B211" s="15">
        <v>4001</v>
      </c>
      <c r="C211" s="35"/>
      <c r="D211" s="85"/>
      <c r="E211" s="37"/>
      <c r="F211" s="85"/>
      <c r="G211" s="36"/>
      <c r="H211" s="85"/>
      <c r="I211" s="36"/>
      <c r="J211" s="85"/>
      <c r="K211" s="31">
        <f aca="true" t="shared" si="15" ref="K211:K242">SUM(C211:J211)</f>
        <v>0</v>
      </c>
      <c r="L211" s="39">
        <v>1437</v>
      </c>
      <c r="M211" s="30">
        <v>1437</v>
      </c>
      <c r="N211" s="69">
        <f t="shared" si="12"/>
        <v>1437</v>
      </c>
      <c r="R211" s="68">
        <v>0</v>
      </c>
    </row>
    <row r="212" spans="1:18" ht="15">
      <c r="A212" s="34" t="s">
        <v>155</v>
      </c>
      <c r="B212" s="16">
        <v>4002</v>
      </c>
      <c r="C212" s="35"/>
      <c r="D212" s="85"/>
      <c r="E212" s="37"/>
      <c r="F212" s="85"/>
      <c r="G212" s="36"/>
      <c r="H212" s="85"/>
      <c r="I212" s="36"/>
      <c r="J212" s="85"/>
      <c r="K212" s="31">
        <f t="shared" si="15"/>
        <v>0</v>
      </c>
      <c r="L212" s="39">
        <v>3897.286</v>
      </c>
      <c r="M212" s="30">
        <v>4097.286</v>
      </c>
      <c r="N212" s="69">
        <f t="shared" si="12"/>
        <v>4097.286</v>
      </c>
      <c r="R212" s="68">
        <v>200</v>
      </c>
    </row>
    <row r="213" spans="1:18" ht="15">
      <c r="A213" s="34" t="s">
        <v>74</v>
      </c>
      <c r="B213" s="16">
        <v>4003</v>
      </c>
      <c r="C213" s="35"/>
      <c r="D213" s="85"/>
      <c r="E213" s="36"/>
      <c r="F213" s="85"/>
      <c r="G213" s="36"/>
      <c r="H213" s="85">
        <v>285</v>
      </c>
      <c r="I213" s="36"/>
      <c r="J213" s="85"/>
      <c r="K213" s="31">
        <f t="shared" si="15"/>
        <v>285</v>
      </c>
      <c r="L213" s="39">
        <v>948.22</v>
      </c>
      <c r="M213" s="30">
        <v>1017.22</v>
      </c>
      <c r="N213" s="69">
        <f t="shared" si="12"/>
        <v>1302.22</v>
      </c>
      <c r="R213" s="68">
        <v>69</v>
      </c>
    </row>
    <row r="214" spans="1:18" ht="15">
      <c r="A214" s="34" t="s">
        <v>75</v>
      </c>
      <c r="B214" s="16">
        <v>4004</v>
      </c>
      <c r="C214" s="35"/>
      <c r="D214" s="85"/>
      <c r="E214" s="36"/>
      <c r="F214" s="85"/>
      <c r="G214" s="36"/>
      <c r="H214" s="85">
        <v>285</v>
      </c>
      <c r="I214" s="36"/>
      <c r="J214" s="85"/>
      <c r="K214" s="31">
        <f t="shared" si="15"/>
        <v>285</v>
      </c>
      <c r="L214" s="39">
        <v>2589</v>
      </c>
      <c r="M214" s="30">
        <v>2639</v>
      </c>
      <c r="N214" s="69">
        <f t="shared" si="12"/>
        <v>2924</v>
      </c>
      <c r="R214" s="68">
        <v>50</v>
      </c>
    </row>
    <row r="215" spans="1:18" ht="15">
      <c r="A215" s="34" t="s">
        <v>76</v>
      </c>
      <c r="B215" s="16">
        <v>4005</v>
      </c>
      <c r="C215" s="40"/>
      <c r="D215" s="85"/>
      <c r="E215" s="36"/>
      <c r="F215" s="85"/>
      <c r="G215" s="36"/>
      <c r="H215" s="85"/>
      <c r="I215" s="36"/>
      <c r="J215" s="85"/>
      <c r="K215" s="31">
        <f t="shared" si="15"/>
        <v>0</v>
      </c>
      <c r="L215" s="39">
        <v>5823</v>
      </c>
      <c r="M215" s="30">
        <v>5823</v>
      </c>
      <c r="N215" s="69">
        <f t="shared" si="12"/>
        <v>5823</v>
      </c>
      <c r="R215" s="68">
        <v>0</v>
      </c>
    </row>
    <row r="216" spans="1:18" ht="15">
      <c r="A216" s="34" t="s">
        <v>298</v>
      </c>
      <c r="B216" s="16">
        <v>4006</v>
      </c>
      <c r="C216" s="35"/>
      <c r="D216" s="85"/>
      <c r="E216" s="36"/>
      <c r="F216" s="85"/>
      <c r="G216" s="36"/>
      <c r="H216" s="85">
        <v>121</v>
      </c>
      <c r="I216" s="36"/>
      <c r="J216" s="85"/>
      <c r="K216" s="31">
        <f t="shared" si="15"/>
        <v>121</v>
      </c>
      <c r="L216" s="39">
        <v>2277</v>
      </c>
      <c r="M216" s="30">
        <v>2277</v>
      </c>
      <c r="N216" s="69">
        <f t="shared" si="12"/>
        <v>2398</v>
      </c>
      <c r="R216" s="68">
        <v>0</v>
      </c>
    </row>
    <row r="217" spans="1:18" ht="15">
      <c r="A217" s="34" t="s">
        <v>299</v>
      </c>
      <c r="B217" s="16">
        <v>4007</v>
      </c>
      <c r="C217" s="35"/>
      <c r="D217" s="83"/>
      <c r="E217" s="36"/>
      <c r="F217" s="83"/>
      <c r="G217" s="36"/>
      <c r="H217" s="83"/>
      <c r="I217" s="36"/>
      <c r="J217" s="83"/>
      <c r="K217" s="31">
        <f t="shared" si="15"/>
        <v>0</v>
      </c>
      <c r="L217" s="39">
        <v>231</v>
      </c>
      <c r="M217" s="30">
        <v>231</v>
      </c>
      <c r="N217" s="69">
        <f t="shared" si="12"/>
        <v>231</v>
      </c>
      <c r="R217" s="68">
        <v>0</v>
      </c>
    </row>
    <row r="218" spans="1:18" ht="15">
      <c r="A218" s="34" t="s">
        <v>77</v>
      </c>
      <c r="B218" s="16">
        <v>4008</v>
      </c>
      <c r="C218" s="35"/>
      <c r="D218" s="85"/>
      <c r="E218" s="37"/>
      <c r="F218" s="85"/>
      <c r="G218" s="36"/>
      <c r="H218" s="85"/>
      <c r="I218" s="36">
        <f>148+136</f>
        <v>284</v>
      </c>
      <c r="J218" s="85"/>
      <c r="K218" s="31">
        <f t="shared" si="15"/>
        <v>284</v>
      </c>
      <c r="L218" s="39">
        <v>2222.679</v>
      </c>
      <c r="M218" s="30">
        <v>2242.679</v>
      </c>
      <c r="N218" s="69">
        <f t="shared" si="12"/>
        <v>2526.679</v>
      </c>
      <c r="R218" s="68">
        <v>20</v>
      </c>
    </row>
    <row r="219" spans="1:18" ht="15">
      <c r="A219" s="34" t="s">
        <v>205</v>
      </c>
      <c r="B219" s="16">
        <v>4009</v>
      </c>
      <c r="C219" s="35"/>
      <c r="D219" s="85">
        <f>118</f>
        <v>118</v>
      </c>
      <c r="E219" s="36">
        <f>200</f>
        <v>200</v>
      </c>
      <c r="F219" s="85"/>
      <c r="G219" s="36"/>
      <c r="H219" s="85">
        <f>285+56</f>
        <v>341</v>
      </c>
      <c r="I219" s="36"/>
      <c r="J219" s="85"/>
      <c r="K219" s="31">
        <f t="shared" si="15"/>
        <v>659</v>
      </c>
      <c r="L219" s="39">
        <v>882.6600000000001</v>
      </c>
      <c r="M219" s="30">
        <v>882.6600000000001</v>
      </c>
      <c r="N219" s="69">
        <f t="shared" si="12"/>
        <v>1541.66</v>
      </c>
      <c r="R219" s="68">
        <v>0</v>
      </c>
    </row>
    <row r="220" spans="1:18" ht="15">
      <c r="A220" s="34" t="s">
        <v>78</v>
      </c>
      <c r="B220" s="16">
        <v>4011</v>
      </c>
      <c r="C220" s="35"/>
      <c r="D220" s="85"/>
      <c r="E220" s="36"/>
      <c r="F220" s="85"/>
      <c r="G220" s="36"/>
      <c r="H220" s="85"/>
      <c r="I220" s="36">
        <f>350</f>
        <v>350</v>
      </c>
      <c r="J220" s="85"/>
      <c r="K220" s="31">
        <f t="shared" si="15"/>
        <v>350</v>
      </c>
      <c r="L220" s="39">
        <v>2544.95</v>
      </c>
      <c r="M220" s="30">
        <v>2624.95</v>
      </c>
      <c r="N220" s="69">
        <f t="shared" si="12"/>
        <v>2974.95</v>
      </c>
      <c r="R220" s="68">
        <v>80</v>
      </c>
    </row>
    <row r="221" spans="1:18" ht="15">
      <c r="A221" s="34" t="s">
        <v>167</v>
      </c>
      <c r="B221" s="16">
        <v>4012</v>
      </c>
      <c r="C221" s="35"/>
      <c r="D221" s="85"/>
      <c r="E221" s="36"/>
      <c r="F221" s="85"/>
      <c r="G221" s="36"/>
      <c r="H221" s="85"/>
      <c r="I221" s="36"/>
      <c r="J221" s="85"/>
      <c r="K221" s="31">
        <f t="shared" si="15"/>
        <v>0</v>
      </c>
      <c r="L221" s="39">
        <v>1264</v>
      </c>
      <c r="M221" s="30">
        <v>1614</v>
      </c>
      <c r="N221" s="69">
        <f t="shared" si="12"/>
        <v>1614</v>
      </c>
      <c r="R221" s="68">
        <v>350</v>
      </c>
    </row>
    <row r="222" spans="1:18" ht="15">
      <c r="A222" s="34" t="s">
        <v>300</v>
      </c>
      <c r="B222" s="16">
        <v>4013</v>
      </c>
      <c r="C222" s="35"/>
      <c r="D222" s="85"/>
      <c r="E222" s="36"/>
      <c r="F222" s="85"/>
      <c r="G222" s="36"/>
      <c r="H222" s="85"/>
      <c r="I222" s="36">
        <f>168</f>
        <v>168</v>
      </c>
      <c r="J222" s="85"/>
      <c r="K222" s="31">
        <f t="shared" si="15"/>
        <v>168</v>
      </c>
      <c r="L222" s="39">
        <v>3247</v>
      </c>
      <c r="M222" s="30">
        <v>3267</v>
      </c>
      <c r="N222" s="69">
        <f t="shared" si="12"/>
        <v>3435</v>
      </c>
      <c r="R222" s="68">
        <v>20</v>
      </c>
    </row>
    <row r="223" spans="1:18" ht="15">
      <c r="A223" s="34" t="s">
        <v>79</v>
      </c>
      <c r="B223" s="16">
        <v>4014</v>
      </c>
      <c r="C223" s="35"/>
      <c r="D223" s="85"/>
      <c r="E223" s="37"/>
      <c r="F223" s="85"/>
      <c r="G223" s="36"/>
      <c r="H223" s="85"/>
      <c r="I223" s="36">
        <f>285+136</f>
        <v>421</v>
      </c>
      <c r="J223" s="85"/>
      <c r="K223" s="31">
        <f t="shared" si="15"/>
        <v>421</v>
      </c>
      <c r="L223" s="39">
        <v>7546</v>
      </c>
      <c r="M223" s="30">
        <v>9533</v>
      </c>
      <c r="N223" s="69">
        <f t="shared" si="12"/>
        <v>9954</v>
      </c>
      <c r="R223" s="68">
        <v>1987</v>
      </c>
    </row>
    <row r="224" spans="1:18" ht="15">
      <c r="A224" s="34" t="s">
        <v>168</v>
      </c>
      <c r="B224" s="16">
        <v>4015</v>
      </c>
      <c r="C224" s="35"/>
      <c r="D224" s="85"/>
      <c r="E224" s="36"/>
      <c r="F224" s="85"/>
      <c r="G224" s="36"/>
      <c r="H224" s="85"/>
      <c r="I224" s="36"/>
      <c r="J224" s="85">
        <f>453</f>
        <v>453</v>
      </c>
      <c r="K224" s="31">
        <f t="shared" si="15"/>
        <v>453</v>
      </c>
      <c r="L224" s="39">
        <v>1340</v>
      </c>
      <c r="M224" s="30">
        <v>2233</v>
      </c>
      <c r="N224" s="69">
        <f t="shared" si="12"/>
        <v>2686</v>
      </c>
      <c r="R224" s="68">
        <v>893</v>
      </c>
    </row>
    <row r="225" spans="1:18" ht="15">
      <c r="A225" s="34" t="s">
        <v>80</v>
      </c>
      <c r="B225" s="16">
        <v>4016</v>
      </c>
      <c r="C225" s="35"/>
      <c r="D225" s="85">
        <f>30</f>
        <v>30</v>
      </c>
      <c r="E225" s="36"/>
      <c r="F225" s="85"/>
      <c r="G225" s="36"/>
      <c r="H225" s="85"/>
      <c r="I225" s="37"/>
      <c r="J225" s="85">
        <f>143+45</f>
        <v>188</v>
      </c>
      <c r="K225" s="31">
        <f t="shared" si="15"/>
        <v>218</v>
      </c>
      <c r="L225" s="39">
        <v>1463.67</v>
      </c>
      <c r="M225" s="30">
        <v>2390.67</v>
      </c>
      <c r="N225" s="69">
        <f t="shared" si="12"/>
        <v>2608.67</v>
      </c>
      <c r="R225" s="68">
        <v>927</v>
      </c>
    </row>
    <row r="226" spans="1:18" ht="15">
      <c r="A226" s="34" t="s">
        <v>81</v>
      </c>
      <c r="B226" s="16">
        <v>4017</v>
      </c>
      <c r="C226" s="40"/>
      <c r="D226" s="85"/>
      <c r="E226" s="36"/>
      <c r="F226" s="85"/>
      <c r="G226" s="36"/>
      <c r="H226" s="85"/>
      <c r="I226" s="36">
        <f>439</f>
        <v>439</v>
      </c>
      <c r="J226" s="85"/>
      <c r="K226" s="31">
        <f t="shared" si="15"/>
        <v>439</v>
      </c>
      <c r="L226" s="39">
        <v>8207.579000000002</v>
      </c>
      <c r="M226" s="30">
        <v>8634.579000000002</v>
      </c>
      <c r="N226" s="69">
        <f t="shared" si="12"/>
        <v>9073.579000000002</v>
      </c>
      <c r="R226" s="68">
        <v>427</v>
      </c>
    </row>
    <row r="227" spans="1:18" ht="15">
      <c r="A227" s="34" t="s">
        <v>134</v>
      </c>
      <c r="B227" s="16">
        <v>4018</v>
      </c>
      <c r="C227" s="35"/>
      <c r="D227" s="85"/>
      <c r="E227" s="36"/>
      <c r="F227" s="85"/>
      <c r="G227" s="36"/>
      <c r="H227" s="85"/>
      <c r="I227" s="36"/>
      <c r="J227" s="85"/>
      <c r="K227" s="31">
        <f t="shared" si="15"/>
        <v>0</v>
      </c>
      <c r="L227" s="39">
        <v>5555.368</v>
      </c>
      <c r="M227" s="30">
        <v>6032.368</v>
      </c>
      <c r="N227" s="69">
        <f t="shared" si="12"/>
        <v>6032.368</v>
      </c>
      <c r="R227" s="68">
        <v>477</v>
      </c>
    </row>
    <row r="228" spans="1:18" ht="15">
      <c r="A228" s="34" t="s">
        <v>169</v>
      </c>
      <c r="B228" s="16">
        <v>4019</v>
      </c>
      <c r="C228" s="40"/>
      <c r="D228" s="85"/>
      <c r="E228" s="36"/>
      <c r="F228" s="85"/>
      <c r="G228" s="36"/>
      <c r="H228" s="85">
        <v>350</v>
      </c>
      <c r="I228" s="36"/>
      <c r="J228" s="85">
        <f>100</f>
        <v>100</v>
      </c>
      <c r="K228" s="31">
        <f t="shared" si="15"/>
        <v>450</v>
      </c>
      <c r="L228" s="39">
        <v>9882.398000000001</v>
      </c>
      <c r="M228" s="30">
        <v>9882.398000000001</v>
      </c>
      <c r="N228" s="69">
        <f t="shared" si="12"/>
        <v>10332.398000000001</v>
      </c>
      <c r="R228" s="68">
        <v>0</v>
      </c>
    </row>
    <row r="229" spans="1:18" ht="15">
      <c r="A229" s="34" t="s">
        <v>301</v>
      </c>
      <c r="B229" s="16">
        <v>4021</v>
      </c>
      <c r="C229" s="35"/>
      <c r="D229" s="85"/>
      <c r="E229" s="36"/>
      <c r="F229" s="85"/>
      <c r="G229" s="36"/>
      <c r="H229" s="85"/>
      <c r="I229" s="36"/>
      <c r="J229" s="85"/>
      <c r="K229" s="31">
        <f t="shared" si="15"/>
        <v>0</v>
      </c>
      <c r="L229" s="39">
        <v>2263</v>
      </c>
      <c r="M229" s="30">
        <v>2263</v>
      </c>
      <c r="N229" s="69">
        <f t="shared" si="12"/>
        <v>2263</v>
      </c>
      <c r="R229" s="68">
        <v>0</v>
      </c>
    </row>
    <row r="230" spans="1:18" ht="15">
      <c r="A230" s="34" t="s">
        <v>82</v>
      </c>
      <c r="B230" s="16">
        <v>4022</v>
      </c>
      <c r="C230" s="35"/>
      <c r="D230" s="85"/>
      <c r="E230" s="36">
        <f>50+24</f>
        <v>74</v>
      </c>
      <c r="F230" s="85"/>
      <c r="G230" s="36"/>
      <c r="H230" s="85">
        <v>285</v>
      </c>
      <c r="I230" s="36"/>
      <c r="J230" s="85"/>
      <c r="K230" s="31">
        <f t="shared" si="15"/>
        <v>359</v>
      </c>
      <c r="L230" s="39">
        <v>11379</v>
      </c>
      <c r="M230" s="30">
        <v>11400</v>
      </c>
      <c r="N230" s="69">
        <f t="shared" si="12"/>
        <v>11759</v>
      </c>
      <c r="R230" s="68">
        <v>21</v>
      </c>
    </row>
    <row r="231" spans="1:18" ht="15">
      <c r="A231" s="34" t="s">
        <v>83</v>
      </c>
      <c r="B231" s="16">
        <v>4023</v>
      </c>
      <c r="C231" s="35">
        <v>3006</v>
      </c>
      <c r="D231" s="85"/>
      <c r="E231" s="37"/>
      <c r="F231" s="85"/>
      <c r="G231" s="36"/>
      <c r="H231" s="85"/>
      <c r="I231" s="36">
        <f>150</f>
        <v>150</v>
      </c>
      <c r="J231" s="85"/>
      <c r="K231" s="31">
        <f t="shared" si="15"/>
        <v>3156</v>
      </c>
      <c r="L231" s="39">
        <v>2507</v>
      </c>
      <c r="M231" s="30">
        <v>2642</v>
      </c>
      <c r="N231" s="69">
        <f t="shared" si="12"/>
        <v>5798</v>
      </c>
      <c r="R231" s="68">
        <v>135</v>
      </c>
    </row>
    <row r="232" spans="1:18" ht="15">
      <c r="A232" s="34" t="s">
        <v>170</v>
      </c>
      <c r="B232" s="16">
        <v>4024</v>
      </c>
      <c r="C232" s="35"/>
      <c r="D232" s="85"/>
      <c r="E232" s="36"/>
      <c r="F232" s="85"/>
      <c r="G232" s="36"/>
      <c r="H232" s="85"/>
      <c r="I232" s="36">
        <f>350</f>
        <v>350</v>
      </c>
      <c r="J232" s="85"/>
      <c r="K232" s="31">
        <f t="shared" si="15"/>
        <v>350</v>
      </c>
      <c r="L232" s="39">
        <v>434</v>
      </c>
      <c r="M232" s="30">
        <v>434</v>
      </c>
      <c r="N232" s="69">
        <f t="shared" si="12"/>
        <v>784</v>
      </c>
      <c r="R232" s="68">
        <v>0</v>
      </c>
    </row>
    <row r="233" spans="1:18" ht="15">
      <c r="A233" s="34" t="s">
        <v>302</v>
      </c>
      <c r="B233" s="16">
        <v>4025</v>
      </c>
      <c r="C233" s="35"/>
      <c r="D233" s="83">
        <f>75</f>
        <v>75</v>
      </c>
      <c r="E233" s="37"/>
      <c r="F233" s="83"/>
      <c r="G233" s="36"/>
      <c r="H233" s="83"/>
      <c r="I233" s="36"/>
      <c r="J233" s="83"/>
      <c r="K233" s="31">
        <f t="shared" si="15"/>
        <v>75</v>
      </c>
      <c r="L233" s="39">
        <v>2957</v>
      </c>
      <c r="M233" s="30">
        <v>2957</v>
      </c>
      <c r="N233" s="69">
        <f t="shared" si="12"/>
        <v>3032</v>
      </c>
      <c r="R233" s="68">
        <v>0</v>
      </c>
    </row>
    <row r="234" spans="1:18" ht="15">
      <c r="A234" s="34" t="s">
        <v>84</v>
      </c>
      <c r="B234" s="16">
        <v>4026</v>
      </c>
      <c r="C234" s="35"/>
      <c r="D234" s="85">
        <f>190</f>
        <v>190</v>
      </c>
      <c r="E234" s="36"/>
      <c r="F234" s="85"/>
      <c r="G234" s="36"/>
      <c r="H234" s="85"/>
      <c r="I234" s="36"/>
      <c r="J234" s="85"/>
      <c r="K234" s="31">
        <f t="shared" si="15"/>
        <v>190</v>
      </c>
      <c r="L234" s="39">
        <v>4356</v>
      </c>
      <c r="M234" s="30">
        <v>6356</v>
      </c>
      <c r="N234" s="69">
        <f t="shared" si="12"/>
        <v>6546</v>
      </c>
      <c r="R234" s="68">
        <v>2000</v>
      </c>
    </row>
    <row r="235" spans="1:18" ht="15">
      <c r="A235" s="34" t="s">
        <v>85</v>
      </c>
      <c r="B235" s="16">
        <v>4027</v>
      </c>
      <c r="C235" s="40"/>
      <c r="D235" s="85"/>
      <c r="E235" s="36"/>
      <c r="F235" s="85"/>
      <c r="G235" s="36"/>
      <c r="H235" s="85"/>
      <c r="I235" s="36">
        <f>1650</f>
        <v>1650</v>
      </c>
      <c r="J235" s="85"/>
      <c r="K235" s="31">
        <f t="shared" si="15"/>
        <v>1650</v>
      </c>
      <c r="L235" s="39">
        <v>9563.800000000001</v>
      </c>
      <c r="M235" s="30">
        <v>9563.800000000001</v>
      </c>
      <c r="N235" s="69">
        <f t="shared" si="12"/>
        <v>11213.800000000001</v>
      </c>
      <c r="R235" s="68">
        <v>0</v>
      </c>
    </row>
    <row r="236" spans="1:18" ht="15">
      <c r="A236" s="34" t="s">
        <v>86</v>
      </c>
      <c r="B236" s="16">
        <v>4028</v>
      </c>
      <c r="C236" s="35"/>
      <c r="D236" s="83">
        <f>90</f>
        <v>90</v>
      </c>
      <c r="E236" s="36"/>
      <c r="F236" s="83"/>
      <c r="G236" s="36"/>
      <c r="H236" s="83"/>
      <c r="I236" s="37"/>
      <c r="J236" s="83">
        <f>35</f>
        <v>35</v>
      </c>
      <c r="K236" s="31">
        <f t="shared" si="15"/>
        <v>125</v>
      </c>
      <c r="L236" s="39">
        <v>5231.36</v>
      </c>
      <c r="M236" s="30">
        <v>5266.36</v>
      </c>
      <c r="N236" s="69">
        <f t="shared" si="12"/>
        <v>5391.36</v>
      </c>
      <c r="R236" s="68">
        <v>35</v>
      </c>
    </row>
    <row r="237" spans="1:18" ht="15">
      <c r="A237" s="34" t="s">
        <v>48</v>
      </c>
      <c r="B237" s="16">
        <v>4029</v>
      </c>
      <c r="C237" s="35"/>
      <c r="D237" s="85"/>
      <c r="E237" s="36"/>
      <c r="F237" s="85"/>
      <c r="G237" s="36"/>
      <c r="H237" s="85"/>
      <c r="I237" s="36"/>
      <c r="J237" s="85"/>
      <c r="K237" s="31">
        <f t="shared" si="15"/>
        <v>0</v>
      </c>
      <c r="L237" s="39">
        <v>642</v>
      </c>
      <c r="M237" s="30">
        <v>1142</v>
      </c>
      <c r="N237" s="69">
        <f t="shared" si="12"/>
        <v>1142</v>
      </c>
      <c r="R237" s="68">
        <v>500</v>
      </c>
    </row>
    <row r="238" spans="1:18" ht="15">
      <c r="A238" s="34" t="s">
        <v>303</v>
      </c>
      <c r="B238" s="16">
        <v>4031</v>
      </c>
      <c r="C238" s="35"/>
      <c r="D238" s="85"/>
      <c r="E238" s="36"/>
      <c r="F238" s="85"/>
      <c r="G238" s="36"/>
      <c r="H238" s="85"/>
      <c r="I238" s="36">
        <f>122</f>
        <v>122</v>
      </c>
      <c r="J238" s="85"/>
      <c r="K238" s="31">
        <f t="shared" si="15"/>
        <v>122</v>
      </c>
      <c r="L238" s="39">
        <v>1160</v>
      </c>
      <c r="M238" s="30">
        <v>1160</v>
      </c>
      <c r="N238" s="69">
        <f t="shared" si="12"/>
        <v>1282</v>
      </c>
      <c r="R238" s="68">
        <v>0</v>
      </c>
    </row>
    <row r="239" spans="1:18" ht="15">
      <c r="A239" s="34" t="s">
        <v>304</v>
      </c>
      <c r="B239" s="16">
        <v>4032</v>
      </c>
      <c r="C239" s="35"/>
      <c r="D239" s="85"/>
      <c r="E239" s="36"/>
      <c r="F239" s="85"/>
      <c r="G239" s="36"/>
      <c r="H239" s="85">
        <v>435</v>
      </c>
      <c r="I239" s="36"/>
      <c r="J239" s="85"/>
      <c r="K239" s="31">
        <f t="shared" si="15"/>
        <v>435</v>
      </c>
      <c r="L239" s="39">
        <v>2698</v>
      </c>
      <c r="M239" s="30">
        <v>2698</v>
      </c>
      <c r="N239" s="69">
        <f t="shared" si="12"/>
        <v>3133</v>
      </c>
      <c r="R239" s="68">
        <v>0</v>
      </c>
    </row>
    <row r="240" spans="1:18" ht="15">
      <c r="A240" s="34" t="s">
        <v>171</v>
      </c>
      <c r="B240" s="16">
        <v>4033</v>
      </c>
      <c r="C240" s="35"/>
      <c r="D240" s="85"/>
      <c r="E240" s="36"/>
      <c r="F240" s="85"/>
      <c r="G240" s="36"/>
      <c r="H240" s="85"/>
      <c r="I240" s="36">
        <f>350</f>
        <v>350</v>
      </c>
      <c r="J240" s="85"/>
      <c r="K240" s="31">
        <f t="shared" si="15"/>
        <v>350</v>
      </c>
      <c r="L240" s="39">
        <v>544</v>
      </c>
      <c r="M240" s="30">
        <v>544</v>
      </c>
      <c r="N240" s="69">
        <f t="shared" si="12"/>
        <v>894</v>
      </c>
      <c r="R240" s="68">
        <v>0</v>
      </c>
    </row>
    <row r="241" spans="1:18" ht="15">
      <c r="A241" s="34" t="s">
        <v>172</v>
      </c>
      <c r="B241" s="16">
        <v>4034</v>
      </c>
      <c r="C241" s="35"/>
      <c r="D241" s="85"/>
      <c r="E241" s="36"/>
      <c r="F241" s="85"/>
      <c r="G241" s="36"/>
      <c r="H241" s="85">
        <v>350</v>
      </c>
      <c r="I241" s="36">
        <f>285</f>
        <v>285</v>
      </c>
      <c r="J241" s="85"/>
      <c r="K241" s="31">
        <f t="shared" si="15"/>
        <v>635</v>
      </c>
      <c r="L241" s="39">
        <v>1994.479</v>
      </c>
      <c r="M241" s="30">
        <v>1994.479</v>
      </c>
      <c r="N241" s="69">
        <f t="shared" si="12"/>
        <v>2629.4790000000003</v>
      </c>
      <c r="R241" s="68">
        <v>0</v>
      </c>
    </row>
    <row r="242" spans="1:18" ht="15">
      <c r="A242" s="34" t="s">
        <v>305</v>
      </c>
      <c r="B242" s="16">
        <v>4035</v>
      </c>
      <c r="C242" s="35"/>
      <c r="D242" s="83"/>
      <c r="E242" s="36">
        <f>250</f>
        <v>250</v>
      </c>
      <c r="F242" s="83"/>
      <c r="G242" s="36"/>
      <c r="H242" s="83"/>
      <c r="I242" s="36">
        <f>200</f>
        <v>200</v>
      </c>
      <c r="J242" s="83">
        <f>52</f>
        <v>52</v>
      </c>
      <c r="K242" s="31">
        <f t="shared" si="15"/>
        <v>502</v>
      </c>
      <c r="L242" s="39">
        <v>4207.227</v>
      </c>
      <c r="M242" s="30">
        <v>6631.227</v>
      </c>
      <c r="N242" s="69">
        <f t="shared" si="12"/>
        <v>7133.227</v>
      </c>
      <c r="R242" s="68">
        <v>2424</v>
      </c>
    </row>
    <row r="243" spans="1:18" ht="15">
      <c r="A243" s="34" t="s">
        <v>87</v>
      </c>
      <c r="B243" s="16">
        <v>4036</v>
      </c>
      <c r="C243" s="35"/>
      <c r="D243" s="83">
        <f>54+64+890</f>
        <v>1008</v>
      </c>
      <c r="E243" s="37"/>
      <c r="F243" s="83">
        <f>1820</f>
        <v>1820</v>
      </c>
      <c r="G243" s="37">
        <f>35</f>
        <v>35</v>
      </c>
      <c r="H243" s="83"/>
      <c r="I243" s="36">
        <f>85</f>
        <v>85</v>
      </c>
      <c r="J243" s="83">
        <f>252+196</f>
        <v>448</v>
      </c>
      <c r="K243" s="31">
        <f aca="true" t="shared" si="16" ref="K243:K274">SUM(C243:J243)</f>
        <v>3396</v>
      </c>
      <c r="L243" s="39">
        <v>48069.76</v>
      </c>
      <c r="M243" s="30">
        <v>50963.76</v>
      </c>
      <c r="N243" s="69">
        <f t="shared" si="12"/>
        <v>54359.76</v>
      </c>
      <c r="R243" s="68">
        <v>2894</v>
      </c>
    </row>
    <row r="244" spans="1:18" ht="15">
      <c r="A244" s="34" t="s">
        <v>306</v>
      </c>
      <c r="B244" s="16">
        <v>4037</v>
      </c>
      <c r="C244" s="35"/>
      <c r="D244" s="83"/>
      <c r="E244" s="36"/>
      <c r="F244" s="83"/>
      <c r="G244" s="36"/>
      <c r="H244" s="83"/>
      <c r="I244" s="36"/>
      <c r="J244" s="83"/>
      <c r="K244" s="31">
        <f t="shared" si="16"/>
        <v>0</v>
      </c>
      <c r="L244" s="39">
        <v>6698.5</v>
      </c>
      <c r="M244" s="30">
        <v>6698.5</v>
      </c>
      <c r="N244" s="69">
        <f t="shared" si="12"/>
        <v>6698.5</v>
      </c>
      <c r="R244" s="68">
        <v>0</v>
      </c>
    </row>
    <row r="245" spans="1:18" ht="15">
      <c r="A245" s="34" t="s">
        <v>135</v>
      </c>
      <c r="B245" s="16">
        <v>4038</v>
      </c>
      <c r="C245" s="35"/>
      <c r="D245" s="85"/>
      <c r="E245" s="36"/>
      <c r="F245" s="85"/>
      <c r="G245" s="36"/>
      <c r="H245" s="85"/>
      <c r="I245" s="36"/>
      <c r="J245" s="85"/>
      <c r="K245" s="31">
        <f t="shared" si="16"/>
        <v>0</v>
      </c>
      <c r="L245" s="39">
        <v>8003.519</v>
      </c>
      <c r="M245" s="30">
        <v>8003.519</v>
      </c>
      <c r="N245" s="69">
        <f t="shared" si="12"/>
        <v>8003.519</v>
      </c>
      <c r="R245" s="68">
        <v>0</v>
      </c>
    </row>
    <row r="246" spans="1:18" ht="15">
      <c r="A246" s="34" t="s">
        <v>173</v>
      </c>
      <c r="B246" s="16">
        <v>4039</v>
      </c>
      <c r="C246" s="35"/>
      <c r="D246" s="85"/>
      <c r="E246" s="36"/>
      <c r="F246" s="85"/>
      <c r="G246" s="36"/>
      <c r="H246" s="85"/>
      <c r="I246" s="36"/>
      <c r="J246" s="85"/>
      <c r="K246" s="31">
        <f t="shared" si="16"/>
        <v>0</v>
      </c>
      <c r="L246" s="39">
        <v>2330</v>
      </c>
      <c r="M246" s="30">
        <v>2630</v>
      </c>
      <c r="N246" s="69">
        <f t="shared" si="12"/>
        <v>2630</v>
      </c>
      <c r="R246" s="68">
        <v>300</v>
      </c>
    </row>
    <row r="247" spans="1:18" ht="15">
      <c r="A247" s="34" t="s">
        <v>136</v>
      </c>
      <c r="B247" s="16">
        <v>4041</v>
      </c>
      <c r="C247" s="35"/>
      <c r="D247" s="85"/>
      <c r="E247" s="36"/>
      <c r="F247" s="85"/>
      <c r="G247" s="36"/>
      <c r="H247" s="85"/>
      <c r="I247" s="36"/>
      <c r="J247" s="85"/>
      <c r="K247" s="31">
        <f t="shared" si="16"/>
        <v>0</v>
      </c>
      <c r="L247" s="39">
        <v>926.45</v>
      </c>
      <c r="M247" s="30">
        <v>1074.45</v>
      </c>
      <c r="N247" s="69">
        <f t="shared" si="12"/>
        <v>1074.45</v>
      </c>
      <c r="R247" s="68">
        <v>148</v>
      </c>
    </row>
    <row r="248" spans="1:18" ht="15">
      <c r="A248" s="34" t="s">
        <v>307</v>
      </c>
      <c r="B248" s="16">
        <v>4042</v>
      </c>
      <c r="C248" s="35"/>
      <c r="D248" s="83"/>
      <c r="E248" s="36"/>
      <c r="F248" s="83"/>
      <c r="G248" s="36"/>
      <c r="H248" s="83"/>
      <c r="I248" s="37">
        <f>141</f>
        <v>141</v>
      </c>
      <c r="J248" s="83">
        <f>699</f>
        <v>699</v>
      </c>
      <c r="K248" s="31">
        <f t="shared" si="16"/>
        <v>840</v>
      </c>
      <c r="L248" s="39">
        <v>3530</v>
      </c>
      <c r="M248" s="30">
        <v>3814</v>
      </c>
      <c r="N248" s="69">
        <f t="shared" si="12"/>
        <v>4654</v>
      </c>
      <c r="R248" s="68">
        <v>284</v>
      </c>
    </row>
    <row r="249" spans="1:18" ht="15">
      <c r="A249" s="34" t="s">
        <v>195</v>
      </c>
      <c r="B249" s="16">
        <v>4043</v>
      </c>
      <c r="C249" s="35"/>
      <c r="D249" s="85"/>
      <c r="E249" s="36"/>
      <c r="F249" s="85"/>
      <c r="G249" s="36"/>
      <c r="H249" s="85">
        <v>285</v>
      </c>
      <c r="I249" s="36">
        <f>77+350</f>
        <v>427</v>
      </c>
      <c r="J249" s="85">
        <f>64</f>
        <v>64</v>
      </c>
      <c r="K249" s="31">
        <f t="shared" si="16"/>
        <v>776</v>
      </c>
      <c r="L249" s="39">
        <v>1132.6599999999999</v>
      </c>
      <c r="M249" s="30">
        <v>1132.6599999999999</v>
      </c>
      <c r="N249" s="69">
        <f t="shared" si="12"/>
        <v>1908.6599999999999</v>
      </c>
      <c r="R249" s="68">
        <v>0</v>
      </c>
    </row>
    <row r="250" spans="1:18" ht="15">
      <c r="A250" s="34" t="s">
        <v>88</v>
      </c>
      <c r="B250" s="16">
        <v>4044</v>
      </c>
      <c r="C250" s="35"/>
      <c r="D250" s="85"/>
      <c r="E250" s="36"/>
      <c r="F250" s="85"/>
      <c r="G250" s="36"/>
      <c r="H250" s="85"/>
      <c r="I250" s="37">
        <f>350</f>
        <v>350</v>
      </c>
      <c r="J250" s="85"/>
      <c r="K250" s="31">
        <f t="shared" si="16"/>
        <v>350</v>
      </c>
      <c r="L250" s="39">
        <v>1913</v>
      </c>
      <c r="M250" s="30">
        <v>1913</v>
      </c>
      <c r="N250" s="69">
        <f t="shared" si="12"/>
        <v>2263</v>
      </c>
      <c r="R250" s="68">
        <v>0</v>
      </c>
    </row>
    <row r="251" spans="1:18" ht="15">
      <c r="A251" s="34" t="s">
        <v>308</v>
      </c>
      <c r="B251" s="16">
        <v>4045</v>
      </c>
      <c r="C251" s="35"/>
      <c r="D251" s="83"/>
      <c r="E251" s="36"/>
      <c r="F251" s="83"/>
      <c r="G251" s="36"/>
      <c r="H251" s="83"/>
      <c r="I251" s="36"/>
      <c r="J251" s="83"/>
      <c r="K251" s="31">
        <f t="shared" si="16"/>
        <v>0</v>
      </c>
      <c r="L251" s="39">
        <v>1145</v>
      </c>
      <c r="M251" s="30">
        <v>1145</v>
      </c>
      <c r="N251" s="69">
        <f t="shared" si="12"/>
        <v>1145</v>
      </c>
      <c r="R251" s="68">
        <v>0</v>
      </c>
    </row>
    <row r="252" spans="1:18" ht="15">
      <c r="A252" s="34" t="s">
        <v>89</v>
      </c>
      <c r="B252" s="17">
        <v>4046</v>
      </c>
      <c r="C252" s="35"/>
      <c r="D252" s="83"/>
      <c r="E252" s="36"/>
      <c r="F252" s="83"/>
      <c r="G252" s="36"/>
      <c r="H252" s="83"/>
      <c r="I252" s="37">
        <f>150</f>
        <v>150</v>
      </c>
      <c r="J252" s="83"/>
      <c r="K252" s="31">
        <f t="shared" si="16"/>
        <v>150</v>
      </c>
      <c r="L252" s="39">
        <v>2516</v>
      </c>
      <c r="M252" s="30">
        <v>3786</v>
      </c>
      <c r="N252" s="69">
        <f t="shared" si="12"/>
        <v>3936</v>
      </c>
      <c r="R252" s="68">
        <v>1270</v>
      </c>
    </row>
    <row r="253" spans="1:18" ht="15">
      <c r="A253" s="34" t="s">
        <v>147</v>
      </c>
      <c r="B253" s="15">
        <v>4047</v>
      </c>
      <c r="C253" s="35"/>
      <c r="D253" s="83">
        <f>450</f>
        <v>450</v>
      </c>
      <c r="E253" s="36">
        <v>34</v>
      </c>
      <c r="F253" s="83"/>
      <c r="G253" s="36"/>
      <c r="H253" s="83">
        <v>200</v>
      </c>
      <c r="I253" s="36"/>
      <c r="J253" s="83"/>
      <c r="K253" s="31">
        <f t="shared" si="16"/>
        <v>684</v>
      </c>
      <c r="L253" s="39">
        <v>15485.99</v>
      </c>
      <c r="M253" s="30">
        <v>16683.989999999998</v>
      </c>
      <c r="N253" s="69">
        <f t="shared" si="12"/>
        <v>17367.989999999998</v>
      </c>
      <c r="R253" s="68">
        <v>1198</v>
      </c>
    </row>
    <row r="254" spans="1:18" ht="15">
      <c r="A254" s="34" t="s">
        <v>148</v>
      </c>
      <c r="B254" s="16">
        <v>4048</v>
      </c>
      <c r="C254" s="35"/>
      <c r="D254" s="85"/>
      <c r="E254" s="37"/>
      <c r="F254" s="85"/>
      <c r="G254" s="36"/>
      <c r="H254" s="85"/>
      <c r="I254" s="37">
        <f>285+94</f>
        <v>379</v>
      </c>
      <c r="J254" s="85"/>
      <c r="K254" s="31">
        <f t="shared" si="16"/>
        <v>379</v>
      </c>
      <c r="L254" s="39">
        <v>8558.928</v>
      </c>
      <c r="M254" s="30">
        <v>8558.928</v>
      </c>
      <c r="N254" s="69">
        <f t="shared" si="12"/>
        <v>8937.928</v>
      </c>
      <c r="R254" s="68">
        <v>0</v>
      </c>
    </row>
    <row r="255" spans="1:18" ht="15">
      <c r="A255" s="34" t="s">
        <v>90</v>
      </c>
      <c r="B255" s="16">
        <v>4049</v>
      </c>
      <c r="C255" s="35"/>
      <c r="D255" s="85"/>
      <c r="E255" s="36"/>
      <c r="F255" s="85"/>
      <c r="G255" s="36"/>
      <c r="H255" s="85"/>
      <c r="I255" s="36"/>
      <c r="J255" s="85"/>
      <c r="K255" s="31">
        <f t="shared" si="16"/>
        <v>0</v>
      </c>
      <c r="L255" s="39">
        <v>8197.970000000001</v>
      </c>
      <c r="M255" s="30">
        <v>8197.970000000001</v>
      </c>
      <c r="N255" s="69">
        <f t="shared" si="12"/>
        <v>8197.970000000001</v>
      </c>
      <c r="R255" s="68">
        <v>0</v>
      </c>
    </row>
    <row r="256" spans="1:18" ht="15">
      <c r="A256" s="34" t="s">
        <v>309</v>
      </c>
      <c r="B256" s="16">
        <v>4051</v>
      </c>
      <c r="C256" s="35"/>
      <c r="D256" s="83"/>
      <c r="E256" s="37"/>
      <c r="F256" s="83"/>
      <c r="G256" s="36"/>
      <c r="H256" s="83">
        <v>261</v>
      </c>
      <c r="I256" s="36">
        <f>211</f>
        <v>211</v>
      </c>
      <c r="J256" s="83"/>
      <c r="K256" s="31">
        <f t="shared" si="16"/>
        <v>472</v>
      </c>
      <c r="L256" s="39">
        <v>2792.45</v>
      </c>
      <c r="M256" s="30">
        <v>2833.45</v>
      </c>
      <c r="N256" s="69">
        <f t="shared" si="12"/>
        <v>3305.45</v>
      </c>
      <c r="R256" s="68">
        <v>41</v>
      </c>
    </row>
    <row r="257" spans="1:18" ht="27">
      <c r="A257" s="34" t="s">
        <v>310</v>
      </c>
      <c r="B257" s="16">
        <v>4052</v>
      </c>
      <c r="C257" s="35">
        <v>125</v>
      </c>
      <c r="D257" s="85"/>
      <c r="E257" s="36"/>
      <c r="F257" s="85"/>
      <c r="G257" s="36"/>
      <c r="H257" s="85">
        <v>586</v>
      </c>
      <c r="I257" s="36"/>
      <c r="J257" s="85">
        <f>37+25</f>
        <v>62</v>
      </c>
      <c r="K257" s="31">
        <f t="shared" si="16"/>
        <v>773</v>
      </c>
      <c r="L257" s="39">
        <v>1657</v>
      </c>
      <c r="M257" s="30">
        <v>1657</v>
      </c>
      <c r="N257" s="69">
        <f t="shared" si="12"/>
        <v>2430</v>
      </c>
      <c r="R257" s="68">
        <v>0</v>
      </c>
    </row>
    <row r="258" spans="1:18" ht="15">
      <c r="A258" s="34" t="s">
        <v>91</v>
      </c>
      <c r="B258" s="16">
        <v>4053</v>
      </c>
      <c r="C258" s="35"/>
      <c r="D258" s="83"/>
      <c r="E258" s="36"/>
      <c r="F258" s="83"/>
      <c r="G258" s="36">
        <f>165+4</f>
        <v>169</v>
      </c>
      <c r="H258" s="83"/>
      <c r="I258" s="36"/>
      <c r="J258" s="83"/>
      <c r="K258" s="31">
        <f>SUM(C258:J258)</f>
        <v>169</v>
      </c>
      <c r="L258" s="39">
        <v>9643.06</v>
      </c>
      <c r="M258" s="30">
        <v>9770.06</v>
      </c>
      <c r="N258" s="69">
        <f t="shared" si="12"/>
        <v>9939.06</v>
      </c>
      <c r="R258" s="68">
        <v>127</v>
      </c>
    </row>
    <row r="259" spans="1:18" ht="15">
      <c r="A259" s="34" t="s">
        <v>92</v>
      </c>
      <c r="B259" s="16">
        <v>4054</v>
      </c>
      <c r="C259" s="35"/>
      <c r="D259" s="85">
        <f>74</f>
        <v>74</v>
      </c>
      <c r="E259" s="37">
        <f>23+50</f>
        <v>73</v>
      </c>
      <c r="F259" s="85"/>
      <c r="G259" s="36"/>
      <c r="H259" s="85"/>
      <c r="I259" s="36"/>
      <c r="J259" s="85"/>
      <c r="K259" s="31">
        <f>SUM(C259:J259)</f>
        <v>147</v>
      </c>
      <c r="L259" s="39">
        <v>64468</v>
      </c>
      <c r="M259" s="30">
        <v>64588</v>
      </c>
      <c r="N259" s="69">
        <f t="shared" si="12"/>
        <v>64735</v>
      </c>
      <c r="R259" s="68">
        <v>120</v>
      </c>
    </row>
    <row r="260" spans="1:18" ht="15">
      <c r="A260" s="34" t="s">
        <v>311</v>
      </c>
      <c r="B260" s="16">
        <v>4055</v>
      </c>
      <c r="C260" s="35"/>
      <c r="D260" s="85"/>
      <c r="E260" s="36">
        <f>224</f>
        <v>224</v>
      </c>
      <c r="F260" s="85"/>
      <c r="G260" s="36"/>
      <c r="H260" s="85"/>
      <c r="I260" s="36"/>
      <c r="J260" s="85"/>
      <c r="K260" s="31">
        <f t="shared" si="16"/>
        <v>224</v>
      </c>
      <c r="L260" s="39">
        <v>683</v>
      </c>
      <c r="M260" s="30">
        <v>1183</v>
      </c>
      <c r="N260" s="69">
        <f t="shared" si="12"/>
        <v>1407</v>
      </c>
      <c r="R260" s="68">
        <v>500</v>
      </c>
    </row>
    <row r="261" spans="1:18" ht="15">
      <c r="A261" s="34" t="s">
        <v>93</v>
      </c>
      <c r="B261" s="16">
        <v>4056</v>
      </c>
      <c r="C261" s="35"/>
      <c r="D261" s="85"/>
      <c r="E261" s="37"/>
      <c r="F261" s="85"/>
      <c r="G261" s="36"/>
      <c r="H261" s="85">
        <v>350</v>
      </c>
      <c r="I261" s="36">
        <f>285</f>
        <v>285</v>
      </c>
      <c r="J261" s="85"/>
      <c r="K261" s="31">
        <f t="shared" si="16"/>
        <v>635</v>
      </c>
      <c r="L261" s="39">
        <v>4145</v>
      </c>
      <c r="M261" s="30">
        <v>4145</v>
      </c>
      <c r="N261" s="69">
        <f aca="true" t="shared" si="17" ref="N261:N324">M261+K261</f>
        <v>4780</v>
      </c>
      <c r="R261" s="68">
        <v>0</v>
      </c>
    </row>
    <row r="262" spans="1:18" ht="15">
      <c r="A262" s="34" t="s">
        <v>94</v>
      </c>
      <c r="B262" s="16">
        <v>4057</v>
      </c>
      <c r="C262" s="35"/>
      <c r="D262" s="85"/>
      <c r="E262" s="36"/>
      <c r="F262" s="85"/>
      <c r="G262" s="36"/>
      <c r="H262" s="85"/>
      <c r="I262" s="37">
        <f>300</f>
        <v>300</v>
      </c>
      <c r="J262" s="85">
        <f>83</f>
        <v>83</v>
      </c>
      <c r="K262" s="31">
        <f t="shared" si="16"/>
        <v>383</v>
      </c>
      <c r="L262" s="39">
        <v>20027</v>
      </c>
      <c r="M262" s="30">
        <v>20027</v>
      </c>
      <c r="N262" s="69">
        <f t="shared" si="17"/>
        <v>20410</v>
      </c>
      <c r="R262" s="68">
        <v>0</v>
      </c>
    </row>
    <row r="263" spans="1:18" ht="15">
      <c r="A263" s="34" t="s">
        <v>149</v>
      </c>
      <c r="B263" s="16">
        <v>4058</v>
      </c>
      <c r="C263" s="35"/>
      <c r="D263" s="85"/>
      <c r="E263" s="36"/>
      <c r="F263" s="85"/>
      <c r="G263" s="36"/>
      <c r="H263" s="85"/>
      <c r="I263" s="36"/>
      <c r="J263" s="85"/>
      <c r="K263" s="31">
        <f t="shared" si="16"/>
        <v>0</v>
      </c>
      <c r="L263" s="39">
        <v>2918</v>
      </c>
      <c r="M263" s="30">
        <v>2918</v>
      </c>
      <c r="N263" s="69">
        <f t="shared" si="17"/>
        <v>2918</v>
      </c>
      <c r="R263" s="68">
        <v>0</v>
      </c>
    </row>
    <row r="264" spans="1:18" ht="15">
      <c r="A264" s="34" t="s">
        <v>174</v>
      </c>
      <c r="B264" s="16">
        <v>4059</v>
      </c>
      <c r="C264" s="35"/>
      <c r="D264" s="85"/>
      <c r="E264" s="36"/>
      <c r="F264" s="85"/>
      <c r="G264" s="36"/>
      <c r="H264" s="85"/>
      <c r="I264" s="36"/>
      <c r="J264" s="85"/>
      <c r="K264" s="31">
        <f t="shared" si="16"/>
        <v>0</v>
      </c>
      <c r="L264" s="39">
        <v>9303</v>
      </c>
      <c r="M264" s="30">
        <v>9303</v>
      </c>
      <c r="N264" s="69">
        <f t="shared" si="17"/>
        <v>9303</v>
      </c>
      <c r="R264" s="68">
        <v>0</v>
      </c>
    </row>
    <row r="265" spans="1:18" ht="15">
      <c r="A265" s="34" t="s">
        <v>175</v>
      </c>
      <c r="B265" s="16">
        <v>4061</v>
      </c>
      <c r="C265" s="35"/>
      <c r="D265" s="83"/>
      <c r="E265" s="36"/>
      <c r="F265" s="83"/>
      <c r="G265" s="36"/>
      <c r="H265" s="83"/>
      <c r="I265" s="36"/>
      <c r="J265" s="83"/>
      <c r="K265" s="31">
        <f t="shared" si="16"/>
        <v>0</v>
      </c>
      <c r="L265" s="39">
        <v>1871</v>
      </c>
      <c r="M265" s="30">
        <v>2193</v>
      </c>
      <c r="N265" s="69">
        <f t="shared" si="17"/>
        <v>2193</v>
      </c>
      <c r="R265" s="68">
        <v>322</v>
      </c>
    </row>
    <row r="266" spans="1:18" ht="15">
      <c r="A266" s="34" t="s">
        <v>150</v>
      </c>
      <c r="B266" s="16">
        <v>4062</v>
      </c>
      <c r="C266" s="35"/>
      <c r="D266" s="85"/>
      <c r="E266" s="36"/>
      <c r="F266" s="85"/>
      <c r="G266" s="36"/>
      <c r="H266" s="85"/>
      <c r="I266" s="37"/>
      <c r="J266" s="85">
        <f>79</f>
        <v>79</v>
      </c>
      <c r="K266" s="31">
        <f t="shared" si="16"/>
        <v>79</v>
      </c>
      <c r="L266" s="39">
        <v>11363</v>
      </c>
      <c r="M266" s="30">
        <v>11363</v>
      </c>
      <c r="N266" s="69">
        <f t="shared" si="17"/>
        <v>11442</v>
      </c>
      <c r="R266" s="68">
        <v>0</v>
      </c>
    </row>
    <row r="267" spans="1:18" ht="15">
      <c r="A267" s="34" t="s">
        <v>312</v>
      </c>
      <c r="B267" s="16">
        <v>4063</v>
      </c>
      <c r="C267" s="35"/>
      <c r="D267" s="85"/>
      <c r="E267" s="36"/>
      <c r="F267" s="85"/>
      <c r="G267" s="36"/>
      <c r="H267" s="85"/>
      <c r="I267" s="36"/>
      <c r="J267" s="85"/>
      <c r="K267" s="31">
        <f t="shared" si="16"/>
        <v>0</v>
      </c>
      <c r="L267" s="39">
        <v>1113</v>
      </c>
      <c r="M267" s="30">
        <v>1113</v>
      </c>
      <c r="N267" s="69">
        <f t="shared" si="17"/>
        <v>1113</v>
      </c>
      <c r="R267" s="68">
        <v>0</v>
      </c>
    </row>
    <row r="268" spans="1:18" ht="15">
      <c r="A268" s="34" t="s">
        <v>95</v>
      </c>
      <c r="B268" s="16">
        <v>4064</v>
      </c>
      <c r="C268" s="35"/>
      <c r="D268" s="85"/>
      <c r="E268" s="36"/>
      <c r="F268" s="85"/>
      <c r="G268" s="36"/>
      <c r="H268" s="85"/>
      <c r="I268" s="37">
        <f>285</f>
        <v>285</v>
      </c>
      <c r="J268" s="85"/>
      <c r="K268" s="31">
        <f t="shared" si="16"/>
        <v>285</v>
      </c>
      <c r="L268" s="39">
        <v>2853</v>
      </c>
      <c r="M268" s="30">
        <v>2853</v>
      </c>
      <c r="N268" s="69">
        <f t="shared" si="17"/>
        <v>3138</v>
      </c>
      <c r="R268" s="68">
        <v>0</v>
      </c>
    </row>
    <row r="269" spans="1:18" ht="15">
      <c r="A269" s="34" t="s">
        <v>96</v>
      </c>
      <c r="B269" s="16">
        <v>4065</v>
      </c>
      <c r="C269" s="35"/>
      <c r="D269" s="85"/>
      <c r="E269" s="37"/>
      <c r="F269" s="85"/>
      <c r="G269" s="36"/>
      <c r="H269" s="85">
        <v>285</v>
      </c>
      <c r="I269" s="36">
        <f>89+300</f>
        <v>389</v>
      </c>
      <c r="J269" s="85"/>
      <c r="K269" s="31">
        <f t="shared" si="16"/>
        <v>674</v>
      </c>
      <c r="L269" s="39">
        <v>2227</v>
      </c>
      <c r="M269" s="30">
        <v>2227</v>
      </c>
      <c r="N269" s="69">
        <f t="shared" si="17"/>
        <v>2901</v>
      </c>
      <c r="R269" s="68">
        <v>0</v>
      </c>
    </row>
    <row r="270" spans="1:18" ht="15">
      <c r="A270" s="34" t="s">
        <v>196</v>
      </c>
      <c r="B270" s="16">
        <v>4066</v>
      </c>
      <c r="C270" s="35"/>
      <c r="D270" s="85"/>
      <c r="E270" s="36"/>
      <c r="F270" s="85"/>
      <c r="G270" s="36"/>
      <c r="H270" s="85"/>
      <c r="I270" s="36"/>
      <c r="J270" s="85"/>
      <c r="K270" s="31">
        <f t="shared" si="16"/>
        <v>0</v>
      </c>
      <c r="L270" s="39">
        <v>1821</v>
      </c>
      <c r="M270" s="30">
        <v>1821</v>
      </c>
      <c r="N270" s="69">
        <f t="shared" si="17"/>
        <v>1821</v>
      </c>
      <c r="R270" s="68">
        <v>0</v>
      </c>
    </row>
    <row r="271" spans="1:18" ht="15">
      <c r="A271" s="34" t="s">
        <v>97</v>
      </c>
      <c r="B271" s="16">
        <v>4067</v>
      </c>
      <c r="C271" s="35"/>
      <c r="D271" s="85"/>
      <c r="E271" s="36"/>
      <c r="F271" s="85"/>
      <c r="G271" s="36"/>
      <c r="H271" s="85"/>
      <c r="I271" s="36"/>
      <c r="J271" s="85"/>
      <c r="K271" s="31">
        <f t="shared" si="16"/>
        <v>0</v>
      </c>
      <c r="L271" s="39">
        <v>799</v>
      </c>
      <c r="M271" s="30">
        <v>1049</v>
      </c>
      <c r="N271" s="69">
        <f t="shared" si="17"/>
        <v>1049</v>
      </c>
      <c r="R271" s="68">
        <v>250</v>
      </c>
    </row>
    <row r="272" spans="1:18" ht="15">
      <c r="A272" s="34" t="s">
        <v>98</v>
      </c>
      <c r="B272" s="16">
        <v>4068</v>
      </c>
      <c r="C272" s="35"/>
      <c r="D272" s="85"/>
      <c r="E272" s="36"/>
      <c r="F272" s="85"/>
      <c r="G272" s="36">
        <f>103</f>
        <v>103</v>
      </c>
      <c r="H272" s="85">
        <v>126</v>
      </c>
      <c r="I272" s="36"/>
      <c r="J272" s="85"/>
      <c r="K272" s="31">
        <f t="shared" si="16"/>
        <v>229</v>
      </c>
      <c r="L272" s="39">
        <v>7030</v>
      </c>
      <c r="M272" s="30">
        <v>7190</v>
      </c>
      <c r="N272" s="69">
        <f t="shared" si="17"/>
        <v>7419</v>
      </c>
      <c r="R272" s="68">
        <v>160</v>
      </c>
    </row>
    <row r="273" spans="1:18" ht="15">
      <c r="A273" s="34" t="s">
        <v>313</v>
      </c>
      <c r="B273" s="16">
        <v>4069</v>
      </c>
      <c r="C273" s="35"/>
      <c r="D273" s="85"/>
      <c r="E273" s="36"/>
      <c r="F273" s="85"/>
      <c r="G273" s="36"/>
      <c r="H273" s="85"/>
      <c r="I273" s="37"/>
      <c r="J273" s="85">
        <f>41</f>
        <v>41</v>
      </c>
      <c r="K273" s="31">
        <f t="shared" si="16"/>
        <v>41</v>
      </c>
      <c r="L273" s="39">
        <v>4664</v>
      </c>
      <c r="M273" s="30">
        <v>4664</v>
      </c>
      <c r="N273" s="69">
        <f t="shared" si="17"/>
        <v>4705</v>
      </c>
      <c r="R273" s="68">
        <v>0</v>
      </c>
    </row>
    <row r="274" spans="1:18" ht="15">
      <c r="A274" s="34" t="s">
        <v>176</v>
      </c>
      <c r="B274" s="16">
        <v>4071</v>
      </c>
      <c r="C274" s="35"/>
      <c r="D274" s="85"/>
      <c r="E274" s="36"/>
      <c r="F274" s="85"/>
      <c r="G274" s="36"/>
      <c r="H274" s="85"/>
      <c r="I274" s="36"/>
      <c r="J274" s="85">
        <f>10</f>
        <v>10</v>
      </c>
      <c r="K274" s="31">
        <f t="shared" si="16"/>
        <v>10</v>
      </c>
      <c r="L274" s="39">
        <v>783</v>
      </c>
      <c r="M274" s="30">
        <v>1424</v>
      </c>
      <c r="N274" s="69">
        <f t="shared" si="17"/>
        <v>1434</v>
      </c>
      <c r="R274" s="68">
        <v>641</v>
      </c>
    </row>
    <row r="275" spans="1:18" ht="15">
      <c r="A275" s="34" t="s">
        <v>314</v>
      </c>
      <c r="B275" s="16">
        <v>4072</v>
      </c>
      <c r="C275" s="35"/>
      <c r="D275" s="85"/>
      <c r="E275" s="36"/>
      <c r="F275" s="85"/>
      <c r="G275" s="36"/>
      <c r="H275" s="85"/>
      <c r="I275" s="37">
        <f>285</f>
        <v>285</v>
      </c>
      <c r="J275" s="85"/>
      <c r="K275" s="31">
        <f aca="true" t="shared" si="18" ref="K275:K280">SUM(C275:J275)</f>
        <v>285</v>
      </c>
      <c r="L275" s="39">
        <v>2460</v>
      </c>
      <c r="M275" s="30">
        <v>2515</v>
      </c>
      <c r="N275" s="69">
        <f t="shared" si="17"/>
        <v>2800</v>
      </c>
      <c r="R275" s="68">
        <v>55</v>
      </c>
    </row>
    <row r="276" spans="1:18" ht="15">
      <c r="A276" s="34" t="s">
        <v>99</v>
      </c>
      <c r="B276" s="16">
        <v>4073</v>
      </c>
      <c r="C276" s="35"/>
      <c r="D276" s="85"/>
      <c r="E276" s="36"/>
      <c r="F276" s="85"/>
      <c r="G276" s="36"/>
      <c r="H276" s="85">
        <v>350</v>
      </c>
      <c r="I276" s="36">
        <f>165</f>
        <v>165</v>
      </c>
      <c r="J276" s="85">
        <f>100</f>
        <v>100</v>
      </c>
      <c r="K276" s="31">
        <f t="shared" si="18"/>
        <v>615</v>
      </c>
      <c r="L276" s="39">
        <v>8125.228</v>
      </c>
      <c r="M276" s="30">
        <v>8840.228</v>
      </c>
      <c r="N276" s="69">
        <f t="shared" si="17"/>
        <v>9455.228</v>
      </c>
      <c r="R276" s="68">
        <v>715</v>
      </c>
    </row>
    <row r="277" spans="1:18" ht="15">
      <c r="A277" s="34" t="s">
        <v>100</v>
      </c>
      <c r="B277" s="16">
        <v>4074</v>
      </c>
      <c r="C277" s="35"/>
      <c r="D277" s="83">
        <f>390+350</f>
        <v>740</v>
      </c>
      <c r="E277" s="36"/>
      <c r="F277" s="83">
        <f>18000</f>
        <v>18000</v>
      </c>
      <c r="G277" s="37">
        <f>282+161</f>
        <v>443</v>
      </c>
      <c r="H277" s="83"/>
      <c r="I277" s="36">
        <f>150+115</f>
        <v>265</v>
      </c>
      <c r="J277" s="83">
        <f>35</f>
        <v>35</v>
      </c>
      <c r="K277" s="31">
        <f>SUM(C277:J277)-1</f>
        <v>19482</v>
      </c>
      <c r="L277" s="39">
        <v>58963.62</v>
      </c>
      <c r="M277" s="30">
        <v>81131.62</v>
      </c>
      <c r="N277" s="69">
        <f t="shared" si="17"/>
        <v>100613.62</v>
      </c>
      <c r="R277" s="68">
        <v>22168</v>
      </c>
    </row>
    <row r="278" spans="1:18" ht="15">
      <c r="A278" s="34" t="s">
        <v>315</v>
      </c>
      <c r="B278" s="16">
        <v>4075</v>
      </c>
      <c r="C278" s="35"/>
      <c r="D278" s="85"/>
      <c r="E278" s="36"/>
      <c r="F278" s="85"/>
      <c r="G278" s="36"/>
      <c r="H278" s="85"/>
      <c r="I278" s="37"/>
      <c r="J278" s="85"/>
      <c r="K278" s="31">
        <f t="shared" si="18"/>
        <v>0</v>
      </c>
      <c r="L278" s="39">
        <v>174</v>
      </c>
      <c r="M278" s="30">
        <v>174</v>
      </c>
      <c r="N278" s="69">
        <f t="shared" si="17"/>
        <v>174</v>
      </c>
      <c r="R278" s="68">
        <v>0</v>
      </c>
    </row>
    <row r="279" spans="1:18" ht="15">
      <c r="A279" s="34" t="s">
        <v>177</v>
      </c>
      <c r="B279" s="16">
        <v>4076</v>
      </c>
      <c r="C279" s="35"/>
      <c r="D279" s="85"/>
      <c r="E279" s="36"/>
      <c r="F279" s="85"/>
      <c r="G279" s="36"/>
      <c r="H279" s="85"/>
      <c r="I279" s="37"/>
      <c r="J279" s="85"/>
      <c r="K279" s="31">
        <f t="shared" si="18"/>
        <v>0</v>
      </c>
      <c r="L279" s="39">
        <v>1558.5</v>
      </c>
      <c r="M279" s="30">
        <v>1558.5</v>
      </c>
      <c r="N279" s="69">
        <f t="shared" si="17"/>
        <v>1558.5</v>
      </c>
      <c r="R279" s="68">
        <v>0</v>
      </c>
    </row>
    <row r="280" spans="1:18" ht="15">
      <c r="A280" s="34" t="s">
        <v>197</v>
      </c>
      <c r="B280" s="18">
        <v>4077</v>
      </c>
      <c r="C280" s="35"/>
      <c r="D280" s="85"/>
      <c r="E280" s="36"/>
      <c r="F280" s="85"/>
      <c r="G280" s="36"/>
      <c r="H280" s="85"/>
      <c r="I280" s="36"/>
      <c r="J280" s="85">
        <f>1203</f>
        <v>1203</v>
      </c>
      <c r="K280" s="31">
        <f t="shared" si="18"/>
        <v>1203</v>
      </c>
      <c r="L280" s="39">
        <v>1443.145</v>
      </c>
      <c r="M280" s="30">
        <v>1681.145</v>
      </c>
      <c r="N280" s="69">
        <f t="shared" si="17"/>
        <v>2884.145</v>
      </c>
      <c r="R280" s="68">
        <v>238</v>
      </c>
    </row>
    <row r="281" spans="1:44" s="9" customFormat="1" ht="15">
      <c r="A281" s="77" t="s">
        <v>316</v>
      </c>
      <c r="B281" s="79"/>
      <c r="C281" s="76">
        <f>SUM(C282:C307)</f>
        <v>0</v>
      </c>
      <c r="D281" s="38">
        <f aca="true" t="shared" si="19" ref="D281:J281">SUM(D282:D307)</f>
        <v>1494</v>
      </c>
      <c r="E281" s="38">
        <f t="shared" si="19"/>
        <v>143</v>
      </c>
      <c r="F281" s="38">
        <f t="shared" si="19"/>
        <v>0</v>
      </c>
      <c r="G281" s="38">
        <f t="shared" si="19"/>
        <v>31</v>
      </c>
      <c r="H281" s="38">
        <f t="shared" si="19"/>
        <v>1319</v>
      </c>
      <c r="I281" s="38">
        <f>SUM(I282:I307)</f>
        <v>1333</v>
      </c>
      <c r="J281" s="38">
        <f t="shared" si="19"/>
        <v>890</v>
      </c>
      <c r="K281" s="38">
        <f>SUM(K282:K307)-1</f>
        <v>5209</v>
      </c>
      <c r="L281" s="32">
        <v>170086.32786</v>
      </c>
      <c r="M281" s="33">
        <v>204882.32786</v>
      </c>
      <c r="N281" s="69">
        <f>M281+K281-1</f>
        <v>210090.32786</v>
      </c>
      <c r="O281" s="1"/>
      <c r="P281" s="1"/>
      <c r="Q281" s="1"/>
      <c r="R281" s="68">
        <v>34796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18" ht="15">
      <c r="A282" s="34" t="s">
        <v>101</v>
      </c>
      <c r="B282" s="15">
        <v>5001</v>
      </c>
      <c r="C282" s="35"/>
      <c r="D282" s="83"/>
      <c r="E282" s="37"/>
      <c r="F282" s="83"/>
      <c r="G282" s="36"/>
      <c r="H282" s="83"/>
      <c r="I282" s="36"/>
      <c r="J282" s="83"/>
      <c r="K282" s="31">
        <f aca="true" t="shared" si="20" ref="K282:K307">SUM(C282:J282)</f>
        <v>0</v>
      </c>
      <c r="L282" s="39">
        <v>2448</v>
      </c>
      <c r="M282" s="30">
        <v>2448</v>
      </c>
      <c r="N282" s="69">
        <f t="shared" si="17"/>
        <v>2448</v>
      </c>
      <c r="R282" s="68">
        <v>0</v>
      </c>
    </row>
    <row r="283" spans="1:18" ht="15">
      <c r="A283" s="34" t="s">
        <v>178</v>
      </c>
      <c r="B283" s="16">
        <v>5002</v>
      </c>
      <c r="C283" s="35"/>
      <c r="D283" s="83"/>
      <c r="E283" s="37"/>
      <c r="F283" s="83"/>
      <c r="G283" s="36"/>
      <c r="H283" s="83"/>
      <c r="I283" s="37"/>
      <c r="J283" s="83"/>
      <c r="K283" s="31">
        <f t="shared" si="20"/>
        <v>0</v>
      </c>
      <c r="L283" s="39">
        <v>1268</v>
      </c>
      <c r="M283" s="30">
        <v>1618</v>
      </c>
      <c r="N283" s="69">
        <f t="shared" si="17"/>
        <v>1618</v>
      </c>
      <c r="R283" s="68">
        <v>350</v>
      </c>
    </row>
    <row r="284" spans="1:18" ht="15">
      <c r="A284" s="34" t="s">
        <v>102</v>
      </c>
      <c r="B284" s="16">
        <v>5003</v>
      </c>
      <c r="C284" s="35"/>
      <c r="D284" s="85"/>
      <c r="E284" s="36"/>
      <c r="F284" s="85"/>
      <c r="G284" s="36"/>
      <c r="H284" s="85"/>
      <c r="I284" s="36">
        <f>200+100</f>
        <v>300</v>
      </c>
      <c r="J284" s="85"/>
      <c r="K284" s="31">
        <f t="shared" si="20"/>
        <v>300</v>
      </c>
      <c r="L284" s="39">
        <v>2257</v>
      </c>
      <c r="M284" s="30">
        <v>2687</v>
      </c>
      <c r="N284" s="69">
        <f t="shared" si="17"/>
        <v>2987</v>
      </c>
      <c r="R284" s="68">
        <v>430</v>
      </c>
    </row>
    <row r="285" spans="1:18" ht="15">
      <c r="A285" s="34" t="s">
        <v>103</v>
      </c>
      <c r="B285" s="16">
        <v>5004</v>
      </c>
      <c r="C285" s="35"/>
      <c r="D285" s="85"/>
      <c r="E285" s="36">
        <f>20</f>
        <v>20</v>
      </c>
      <c r="F285" s="85"/>
      <c r="G285" s="36"/>
      <c r="H285" s="85"/>
      <c r="I285" s="36"/>
      <c r="J285" s="85"/>
      <c r="K285" s="31">
        <f t="shared" si="20"/>
        <v>20</v>
      </c>
      <c r="L285" s="39">
        <v>2451</v>
      </c>
      <c r="M285" s="30">
        <v>2711</v>
      </c>
      <c r="N285" s="69">
        <f t="shared" si="17"/>
        <v>2731</v>
      </c>
      <c r="R285" s="68">
        <v>260</v>
      </c>
    </row>
    <row r="286" spans="1:18" ht="15">
      <c r="A286" s="34" t="s">
        <v>317</v>
      </c>
      <c r="B286" s="16">
        <v>5005</v>
      </c>
      <c r="C286" s="35"/>
      <c r="D286" s="85"/>
      <c r="E286" s="36"/>
      <c r="F286" s="85"/>
      <c r="G286" s="36"/>
      <c r="H286" s="85"/>
      <c r="I286" s="36"/>
      <c r="J286" s="85"/>
      <c r="K286" s="31">
        <f t="shared" si="20"/>
        <v>0</v>
      </c>
      <c r="L286" s="39">
        <v>890</v>
      </c>
      <c r="M286" s="30">
        <v>890</v>
      </c>
      <c r="N286" s="69">
        <f t="shared" si="17"/>
        <v>890</v>
      </c>
      <c r="R286" s="68">
        <v>0</v>
      </c>
    </row>
    <row r="287" spans="1:18" ht="15">
      <c r="A287" s="34" t="s">
        <v>318</v>
      </c>
      <c r="B287" s="16">
        <v>5006</v>
      </c>
      <c r="C287" s="35"/>
      <c r="D287" s="85"/>
      <c r="E287" s="37"/>
      <c r="F287" s="85"/>
      <c r="G287" s="36"/>
      <c r="H287" s="85"/>
      <c r="I287" s="36">
        <f>67</f>
        <v>67</v>
      </c>
      <c r="J287" s="85"/>
      <c r="K287" s="31">
        <f t="shared" si="20"/>
        <v>67</v>
      </c>
      <c r="L287" s="39">
        <v>6149</v>
      </c>
      <c r="M287" s="30">
        <v>6149</v>
      </c>
      <c r="N287" s="69">
        <f t="shared" si="17"/>
        <v>6216</v>
      </c>
      <c r="R287" s="68">
        <v>0</v>
      </c>
    </row>
    <row r="288" spans="1:18" ht="15">
      <c r="A288" s="34" t="s">
        <v>319</v>
      </c>
      <c r="B288" s="16">
        <v>5007</v>
      </c>
      <c r="C288" s="35"/>
      <c r="D288" s="85"/>
      <c r="E288" s="36"/>
      <c r="F288" s="85"/>
      <c r="G288" s="36"/>
      <c r="H288" s="85"/>
      <c r="I288" s="36"/>
      <c r="J288" s="85">
        <f>10</f>
        <v>10</v>
      </c>
      <c r="K288" s="31">
        <f t="shared" si="20"/>
        <v>10</v>
      </c>
      <c r="L288" s="39">
        <v>7090.322</v>
      </c>
      <c r="M288" s="30">
        <v>7090.322</v>
      </c>
      <c r="N288" s="69">
        <f t="shared" si="17"/>
        <v>7100.322</v>
      </c>
      <c r="R288" s="68">
        <v>0</v>
      </c>
    </row>
    <row r="289" spans="1:18" ht="15">
      <c r="A289" s="34" t="s">
        <v>320</v>
      </c>
      <c r="B289" s="16">
        <v>5008</v>
      </c>
      <c r="C289" s="35"/>
      <c r="D289" s="85"/>
      <c r="E289" s="36"/>
      <c r="F289" s="85"/>
      <c r="G289" s="36"/>
      <c r="H289" s="85"/>
      <c r="I289" s="36"/>
      <c r="J289" s="85"/>
      <c r="K289" s="31">
        <f t="shared" si="20"/>
        <v>0</v>
      </c>
      <c r="L289" s="39">
        <v>223</v>
      </c>
      <c r="M289" s="30">
        <v>223</v>
      </c>
      <c r="N289" s="69">
        <f t="shared" si="17"/>
        <v>223</v>
      </c>
      <c r="R289" s="68">
        <v>0</v>
      </c>
    </row>
    <row r="290" spans="1:18" ht="15">
      <c r="A290" s="34" t="s">
        <v>104</v>
      </c>
      <c r="B290" s="16">
        <v>5009</v>
      </c>
      <c r="C290" s="35"/>
      <c r="D290" s="85"/>
      <c r="E290" s="36"/>
      <c r="F290" s="85"/>
      <c r="G290" s="36"/>
      <c r="H290" s="85">
        <v>285</v>
      </c>
      <c r="I290" s="36"/>
      <c r="J290" s="85"/>
      <c r="K290" s="31">
        <f t="shared" si="20"/>
        <v>285</v>
      </c>
      <c r="L290" s="39">
        <v>795.85</v>
      </c>
      <c r="M290" s="30">
        <v>795.85</v>
      </c>
      <c r="N290" s="69">
        <f t="shared" si="17"/>
        <v>1080.85</v>
      </c>
      <c r="R290" s="68">
        <v>0</v>
      </c>
    </row>
    <row r="291" spans="1:18" ht="15">
      <c r="A291" s="34" t="s">
        <v>105</v>
      </c>
      <c r="B291" s="16">
        <v>5011</v>
      </c>
      <c r="C291" s="35"/>
      <c r="D291" s="83"/>
      <c r="E291" s="36"/>
      <c r="F291" s="83"/>
      <c r="G291" s="36"/>
      <c r="H291" s="83">
        <v>266</v>
      </c>
      <c r="I291" s="36">
        <f>200</f>
        <v>200</v>
      </c>
      <c r="J291" s="83"/>
      <c r="K291" s="31">
        <f t="shared" si="20"/>
        <v>466</v>
      </c>
      <c r="L291" s="39">
        <v>5327</v>
      </c>
      <c r="M291" s="30">
        <v>5327</v>
      </c>
      <c r="N291" s="69">
        <f t="shared" si="17"/>
        <v>5793</v>
      </c>
      <c r="R291" s="68">
        <v>0</v>
      </c>
    </row>
    <row r="292" spans="1:18" ht="15">
      <c r="A292" s="34" t="s">
        <v>198</v>
      </c>
      <c r="B292" s="16">
        <v>5012</v>
      </c>
      <c r="C292" s="35"/>
      <c r="D292" s="85"/>
      <c r="E292" s="36"/>
      <c r="F292" s="85"/>
      <c r="G292" s="36"/>
      <c r="H292" s="85"/>
      <c r="I292" s="36"/>
      <c r="J292" s="85"/>
      <c r="K292" s="31">
        <f t="shared" si="20"/>
        <v>0</v>
      </c>
      <c r="L292" s="39">
        <v>2248</v>
      </c>
      <c r="M292" s="30">
        <v>2248</v>
      </c>
      <c r="N292" s="69">
        <f t="shared" si="17"/>
        <v>2248</v>
      </c>
      <c r="R292" s="68">
        <v>0</v>
      </c>
    </row>
    <row r="293" spans="1:18" ht="15">
      <c r="A293" s="34" t="s">
        <v>106</v>
      </c>
      <c r="B293" s="16">
        <v>5013</v>
      </c>
      <c r="C293" s="35"/>
      <c r="D293" s="85">
        <f>40+50</f>
        <v>90</v>
      </c>
      <c r="E293" s="37">
        <f>83</f>
        <v>83</v>
      </c>
      <c r="F293" s="85"/>
      <c r="G293" s="36"/>
      <c r="H293" s="85"/>
      <c r="I293" s="36">
        <f>150+94</f>
        <v>244</v>
      </c>
      <c r="J293" s="85">
        <f>467</f>
        <v>467</v>
      </c>
      <c r="K293" s="31">
        <f>SUM(C293:J293)</f>
        <v>884</v>
      </c>
      <c r="L293" s="39">
        <v>33156.8</v>
      </c>
      <c r="M293" s="30">
        <v>65526.8</v>
      </c>
      <c r="N293" s="69">
        <f t="shared" si="17"/>
        <v>66410.8</v>
      </c>
      <c r="R293" s="68">
        <v>32370</v>
      </c>
    </row>
    <row r="294" spans="1:18" ht="15">
      <c r="A294" s="34" t="s">
        <v>321</v>
      </c>
      <c r="B294" s="16">
        <v>5014</v>
      </c>
      <c r="C294" s="35"/>
      <c r="D294" s="85"/>
      <c r="E294" s="36"/>
      <c r="F294" s="85"/>
      <c r="G294" s="36"/>
      <c r="H294" s="85"/>
      <c r="I294" s="36"/>
      <c r="J294" s="85"/>
      <c r="K294" s="31">
        <f t="shared" si="20"/>
        <v>0</v>
      </c>
      <c r="L294" s="39">
        <v>2928</v>
      </c>
      <c r="M294" s="30">
        <v>2928</v>
      </c>
      <c r="N294" s="69">
        <f t="shared" si="17"/>
        <v>2928</v>
      </c>
      <c r="R294" s="68">
        <v>0</v>
      </c>
    </row>
    <row r="295" spans="1:18" ht="15">
      <c r="A295" s="34" t="s">
        <v>322</v>
      </c>
      <c r="B295" s="16">
        <v>5015</v>
      </c>
      <c r="C295" s="35"/>
      <c r="D295" s="85"/>
      <c r="E295" s="36"/>
      <c r="F295" s="85"/>
      <c r="G295" s="36"/>
      <c r="H295" s="85">
        <v>198</v>
      </c>
      <c r="I295" s="36"/>
      <c r="J295" s="85"/>
      <c r="K295" s="31">
        <f t="shared" si="20"/>
        <v>198</v>
      </c>
      <c r="L295" s="39">
        <v>2165</v>
      </c>
      <c r="M295" s="30">
        <v>2165</v>
      </c>
      <c r="N295" s="69">
        <f t="shared" si="17"/>
        <v>2363</v>
      </c>
      <c r="R295" s="68">
        <v>0</v>
      </c>
    </row>
    <row r="296" spans="1:18" ht="15">
      <c r="A296" s="34" t="s">
        <v>323</v>
      </c>
      <c r="B296" s="16">
        <v>5016</v>
      </c>
      <c r="C296" s="35"/>
      <c r="D296" s="83">
        <f>399</f>
        <v>399</v>
      </c>
      <c r="E296" s="36"/>
      <c r="F296" s="83"/>
      <c r="G296" s="36"/>
      <c r="H296" s="83"/>
      <c r="I296" s="36"/>
      <c r="J296" s="83"/>
      <c r="K296" s="31">
        <f t="shared" si="20"/>
        <v>399</v>
      </c>
      <c r="L296" s="39">
        <v>206</v>
      </c>
      <c r="M296" s="30">
        <v>206</v>
      </c>
      <c r="N296" s="69">
        <f t="shared" si="17"/>
        <v>605</v>
      </c>
      <c r="R296" s="68">
        <v>0</v>
      </c>
    </row>
    <row r="297" spans="1:18" ht="15">
      <c r="A297" s="34" t="s">
        <v>182</v>
      </c>
      <c r="B297" s="19">
        <v>5017</v>
      </c>
      <c r="C297" s="35"/>
      <c r="D297" s="85"/>
      <c r="E297" s="36"/>
      <c r="F297" s="85"/>
      <c r="G297" s="36"/>
      <c r="H297" s="85">
        <v>285</v>
      </c>
      <c r="I297" s="37"/>
      <c r="J297" s="85"/>
      <c r="K297" s="31">
        <f t="shared" si="20"/>
        <v>285</v>
      </c>
      <c r="L297" s="39">
        <v>691</v>
      </c>
      <c r="M297" s="30">
        <v>691</v>
      </c>
      <c r="N297" s="69">
        <f t="shared" si="17"/>
        <v>976</v>
      </c>
      <c r="R297" s="68">
        <v>0</v>
      </c>
    </row>
    <row r="298" spans="1:18" ht="15">
      <c r="A298" s="34" t="s">
        <v>324</v>
      </c>
      <c r="B298" s="16">
        <v>5018</v>
      </c>
      <c r="C298" s="35"/>
      <c r="D298" s="85"/>
      <c r="E298" s="36"/>
      <c r="F298" s="85"/>
      <c r="G298" s="36"/>
      <c r="H298" s="85"/>
      <c r="I298" s="36"/>
      <c r="J298" s="85"/>
      <c r="K298" s="31">
        <f t="shared" si="20"/>
        <v>0</v>
      </c>
      <c r="L298" s="39">
        <v>5937</v>
      </c>
      <c r="M298" s="30">
        <v>5937</v>
      </c>
      <c r="N298" s="69">
        <f t="shared" si="17"/>
        <v>5937</v>
      </c>
      <c r="R298" s="68">
        <v>0</v>
      </c>
    </row>
    <row r="299" spans="1:18" ht="15">
      <c r="A299" s="34" t="s">
        <v>154</v>
      </c>
      <c r="B299" s="16">
        <v>5019</v>
      </c>
      <c r="C299" s="35"/>
      <c r="D299" s="83"/>
      <c r="E299" s="37"/>
      <c r="F299" s="83"/>
      <c r="G299" s="36"/>
      <c r="H299" s="83"/>
      <c r="I299" s="36"/>
      <c r="J299" s="83"/>
      <c r="K299" s="31">
        <f t="shared" si="20"/>
        <v>0</v>
      </c>
      <c r="L299" s="39">
        <v>7346.99286</v>
      </c>
      <c r="M299" s="30">
        <v>7346.99286</v>
      </c>
      <c r="N299" s="69">
        <f t="shared" si="17"/>
        <v>7346.99286</v>
      </c>
      <c r="R299" s="68">
        <v>0</v>
      </c>
    </row>
    <row r="300" spans="1:18" ht="15">
      <c r="A300" s="34" t="s">
        <v>107</v>
      </c>
      <c r="B300" s="16">
        <v>5021</v>
      </c>
      <c r="C300" s="35"/>
      <c r="D300" s="83">
        <f>830+45+100</f>
        <v>975</v>
      </c>
      <c r="E300" s="37">
        <f>40</f>
        <v>40</v>
      </c>
      <c r="F300" s="83"/>
      <c r="G300" s="36"/>
      <c r="H300" s="83"/>
      <c r="I300" s="36">
        <f>150</f>
        <v>150</v>
      </c>
      <c r="J300" s="83"/>
      <c r="K300" s="31">
        <f t="shared" si="20"/>
        <v>1165</v>
      </c>
      <c r="L300" s="39">
        <v>60583.5</v>
      </c>
      <c r="M300" s="30">
        <v>61648.5</v>
      </c>
      <c r="N300" s="69">
        <f t="shared" si="17"/>
        <v>62813.5</v>
      </c>
      <c r="R300" s="68">
        <v>1065</v>
      </c>
    </row>
    <row r="301" spans="1:18" ht="15">
      <c r="A301" s="34" t="s">
        <v>325</v>
      </c>
      <c r="B301" s="16">
        <v>5022</v>
      </c>
      <c r="C301" s="35"/>
      <c r="D301" s="85"/>
      <c r="E301" s="37"/>
      <c r="F301" s="85"/>
      <c r="G301" s="36"/>
      <c r="H301" s="85"/>
      <c r="I301" s="36"/>
      <c r="J301" s="85"/>
      <c r="K301" s="31">
        <f t="shared" si="20"/>
        <v>0</v>
      </c>
      <c r="L301" s="39">
        <v>3609</v>
      </c>
      <c r="M301" s="30">
        <v>3609</v>
      </c>
      <c r="N301" s="69">
        <f t="shared" si="17"/>
        <v>3609</v>
      </c>
      <c r="R301" s="68">
        <v>0</v>
      </c>
    </row>
    <row r="302" spans="1:18" ht="15">
      <c r="A302" s="34" t="s">
        <v>108</v>
      </c>
      <c r="B302" s="16">
        <v>5023</v>
      </c>
      <c r="C302" s="35"/>
      <c r="D302" s="83"/>
      <c r="E302" s="36"/>
      <c r="F302" s="83"/>
      <c r="G302" s="36">
        <f>31</f>
        <v>31</v>
      </c>
      <c r="H302" s="83"/>
      <c r="I302" s="36">
        <f>100+122</f>
        <v>222</v>
      </c>
      <c r="J302" s="83">
        <f>330</f>
        <v>330</v>
      </c>
      <c r="K302" s="31">
        <f>SUM(C302:J302)</f>
        <v>583</v>
      </c>
      <c r="L302" s="39">
        <v>7119.863</v>
      </c>
      <c r="M302" s="30">
        <v>7235.863</v>
      </c>
      <c r="N302" s="69">
        <f t="shared" si="17"/>
        <v>7818.863</v>
      </c>
      <c r="R302" s="68">
        <v>116</v>
      </c>
    </row>
    <row r="303" spans="1:18" ht="15">
      <c r="A303" s="34" t="s">
        <v>199</v>
      </c>
      <c r="B303" s="16">
        <v>5024</v>
      </c>
      <c r="C303" s="35"/>
      <c r="D303" s="83">
        <f>30</f>
        <v>30</v>
      </c>
      <c r="E303" s="36"/>
      <c r="F303" s="83"/>
      <c r="G303" s="36"/>
      <c r="H303" s="83"/>
      <c r="I303" s="37"/>
      <c r="J303" s="83"/>
      <c r="K303" s="31">
        <f t="shared" si="20"/>
        <v>30</v>
      </c>
      <c r="L303" s="39">
        <v>1524</v>
      </c>
      <c r="M303" s="30">
        <v>1554</v>
      </c>
      <c r="N303" s="69">
        <f t="shared" si="17"/>
        <v>1584</v>
      </c>
      <c r="R303" s="68">
        <v>30</v>
      </c>
    </row>
    <row r="304" spans="1:18" ht="15">
      <c r="A304" s="34" t="s">
        <v>326</v>
      </c>
      <c r="B304" s="16">
        <v>5025</v>
      </c>
      <c r="C304" s="35"/>
      <c r="D304" s="85"/>
      <c r="E304" s="36"/>
      <c r="F304" s="85"/>
      <c r="G304" s="36"/>
      <c r="H304" s="85"/>
      <c r="I304" s="36"/>
      <c r="J304" s="85"/>
      <c r="K304" s="31">
        <f t="shared" si="20"/>
        <v>0</v>
      </c>
      <c r="L304" s="39">
        <v>3056</v>
      </c>
      <c r="M304" s="30">
        <v>3056</v>
      </c>
      <c r="N304" s="69">
        <f t="shared" si="17"/>
        <v>3056</v>
      </c>
      <c r="R304" s="68">
        <v>0</v>
      </c>
    </row>
    <row r="305" spans="1:18" ht="15">
      <c r="A305" s="34" t="s">
        <v>327</v>
      </c>
      <c r="B305" s="16">
        <v>5026</v>
      </c>
      <c r="C305" s="35"/>
      <c r="D305" s="83"/>
      <c r="E305" s="36"/>
      <c r="F305" s="83"/>
      <c r="G305" s="36"/>
      <c r="H305" s="83">
        <v>285</v>
      </c>
      <c r="I305" s="36"/>
      <c r="J305" s="83">
        <f>83</f>
        <v>83</v>
      </c>
      <c r="K305" s="31">
        <f t="shared" si="20"/>
        <v>368</v>
      </c>
      <c r="L305" s="39">
        <v>1408</v>
      </c>
      <c r="M305" s="30">
        <v>1408</v>
      </c>
      <c r="N305" s="69">
        <f t="shared" si="17"/>
        <v>1776</v>
      </c>
      <c r="R305" s="68">
        <v>0</v>
      </c>
    </row>
    <row r="306" spans="1:18" ht="15">
      <c r="A306" s="34" t="s">
        <v>328</v>
      </c>
      <c r="B306" s="16">
        <v>5027</v>
      </c>
      <c r="C306" s="35"/>
      <c r="D306" s="85"/>
      <c r="E306" s="36"/>
      <c r="F306" s="85"/>
      <c r="G306" s="36"/>
      <c r="H306" s="85"/>
      <c r="I306" s="36"/>
      <c r="J306" s="85"/>
      <c r="K306" s="31">
        <f t="shared" si="20"/>
        <v>0</v>
      </c>
      <c r="L306" s="39">
        <v>0</v>
      </c>
      <c r="M306" s="30">
        <v>0</v>
      </c>
      <c r="N306" s="69">
        <f t="shared" si="17"/>
        <v>0</v>
      </c>
      <c r="R306" s="68">
        <v>0</v>
      </c>
    </row>
    <row r="307" spans="1:18" ht="15">
      <c r="A307" s="34" t="s">
        <v>329</v>
      </c>
      <c r="B307" s="18">
        <v>5028</v>
      </c>
      <c r="C307" s="35"/>
      <c r="D307" s="85"/>
      <c r="E307" s="36"/>
      <c r="F307" s="85"/>
      <c r="G307" s="36"/>
      <c r="H307" s="85"/>
      <c r="I307" s="36">
        <f>150</f>
        <v>150</v>
      </c>
      <c r="J307" s="85"/>
      <c r="K307" s="31">
        <f t="shared" si="20"/>
        <v>150</v>
      </c>
      <c r="L307" s="39">
        <v>9208</v>
      </c>
      <c r="M307" s="30">
        <v>9383</v>
      </c>
      <c r="N307" s="69">
        <f t="shared" si="17"/>
        <v>9533</v>
      </c>
      <c r="R307" s="68">
        <v>175</v>
      </c>
    </row>
    <row r="308" spans="1:44" s="9" customFormat="1" ht="15">
      <c r="A308" s="77" t="s">
        <v>330</v>
      </c>
      <c r="B308" s="79"/>
      <c r="C308" s="76">
        <f>SUM(C309:C342)</f>
        <v>4474</v>
      </c>
      <c r="D308" s="38">
        <f aca="true" t="shared" si="21" ref="D308:J308">SUM(D309:D342)</f>
        <v>6914</v>
      </c>
      <c r="E308" s="38">
        <f t="shared" si="21"/>
        <v>245</v>
      </c>
      <c r="F308" s="38">
        <f t="shared" si="21"/>
        <v>1134</v>
      </c>
      <c r="G308" s="38">
        <f t="shared" si="21"/>
        <v>77</v>
      </c>
      <c r="H308" s="38">
        <f t="shared" si="21"/>
        <v>2350</v>
      </c>
      <c r="I308" s="38">
        <f>SUM(I309:I342)</f>
        <v>3049</v>
      </c>
      <c r="J308" s="38">
        <f t="shared" si="21"/>
        <v>1749</v>
      </c>
      <c r="K308" s="38">
        <f>SUM(K309:K342)</f>
        <v>19992</v>
      </c>
      <c r="L308" s="32">
        <v>214778.18600000002</v>
      </c>
      <c r="M308" s="33">
        <v>228352.18600000002</v>
      </c>
      <c r="N308" s="69">
        <f>M308+K308-1</f>
        <v>248343.18600000002</v>
      </c>
      <c r="O308" s="1"/>
      <c r="P308" s="1"/>
      <c r="Q308" s="1"/>
      <c r="R308" s="68">
        <v>13575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18" ht="15">
      <c r="A309" s="34" t="s">
        <v>109</v>
      </c>
      <c r="B309" s="15">
        <v>6001</v>
      </c>
      <c r="C309" s="35"/>
      <c r="D309" s="83">
        <f>989</f>
        <v>989</v>
      </c>
      <c r="E309" s="36">
        <f>140+35</f>
        <v>175</v>
      </c>
      <c r="F309" s="83">
        <f>1134</f>
        <v>1134</v>
      </c>
      <c r="G309" s="37">
        <f>10</f>
        <v>10</v>
      </c>
      <c r="H309" s="83"/>
      <c r="I309" s="36">
        <f>30+149+650</f>
        <v>829</v>
      </c>
      <c r="J309" s="83"/>
      <c r="K309" s="31">
        <f aca="true" t="shared" si="22" ref="K309:K342">SUM(C309:J309)</f>
        <v>3137</v>
      </c>
      <c r="L309" s="39">
        <v>32721.68</v>
      </c>
      <c r="M309" s="30">
        <v>34646.68</v>
      </c>
      <c r="N309" s="69">
        <f t="shared" si="17"/>
        <v>37783.68</v>
      </c>
      <c r="R309" s="68">
        <v>1925</v>
      </c>
    </row>
    <row r="310" spans="1:18" ht="15">
      <c r="A310" s="34" t="s">
        <v>331</v>
      </c>
      <c r="B310" s="16">
        <v>6002</v>
      </c>
      <c r="C310" s="35"/>
      <c r="D310" s="85"/>
      <c r="E310" s="36"/>
      <c r="F310" s="85"/>
      <c r="G310" s="36"/>
      <c r="H310" s="85"/>
      <c r="I310" s="36"/>
      <c r="J310" s="85"/>
      <c r="K310" s="31">
        <f t="shared" si="22"/>
        <v>0</v>
      </c>
      <c r="L310" s="39">
        <v>5013</v>
      </c>
      <c r="M310" s="30">
        <v>5013</v>
      </c>
      <c r="N310" s="69">
        <f t="shared" si="17"/>
        <v>5013</v>
      </c>
      <c r="R310" s="68">
        <v>0</v>
      </c>
    </row>
    <row r="311" spans="1:18" ht="15">
      <c r="A311" s="34" t="s">
        <v>110</v>
      </c>
      <c r="B311" s="16">
        <v>6003</v>
      </c>
      <c r="C311" s="35"/>
      <c r="D311" s="85"/>
      <c r="E311" s="36"/>
      <c r="F311" s="85"/>
      <c r="G311" s="36"/>
      <c r="H311" s="85"/>
      <c r="I311" s="36">
        <f>135</f>
        <v>135</v>
      </c>
      <c r="J311" s="85"/>
      <c r="K311" s="31">
        <f t="shared" si="22"/>
        <v>135</v>
      </c>
      <c r="L311" s="39">
        <v>4409.7</v>
      </c>
      <c r="M311" s="30">
        <v>4409.7</v>
      </c>
      <c r="N311" s="69">
        <f t="shared" si="17"/>
        <v>4544.7</v>
      </c>
      <c r="R311" s="68">
        <v>0</v>
      </c>
    </row>
    <row r="312" spans="1:18" ht="15">
      <c r="A312" s="34" t="s">
        <v>111</v>
      </c>
      <c r="B312" s="16">
        <v>6004</v>
      </c>
      <c r="C312" s="35"/>
      <c r="D312" s="83">
        <f>59</f>
        <v>59</v>
      </c>
      <c r="E312" s="37"/>
      <c r="F312" s="83"/>
      <c r="G312" s="36">
        <f>2</f>
        <v>2</v>
      </c>
      <c r="H312" s="83"/>
      <c r="I312" s="36"/>
      <c r="J312" s="83"/>
      <c r="K312" s="31">
        <f>SUM(C312:J312)</f>
        <v>61</v>
      </c>
      <c r="L312" s="39">
        <v>5116.494</v>
      </c>
      <c r="M312" s="30">
        <v>5116.494</v>
      </c>
      <c r="N312" s="69">
        <f t="shared" si="17"/>
        <v>5177.494</v>
      </c>
      <c r="R312" s="68">
        <v>0</v>
      </c>
    </row>
    <row r="313" spans="1:18" ht="15">
      <c r="A313" s="34" t="s">
        <v>112</v>
      </c>
      <c r="B313" s="16">
        <v>6005</v>
      </c>
      <c r="C313" s="35"/>
      <c r="D313" s="83"/>
      <c r="E313" s="37"/>
      <c r="F313" s="83"/>
      <c r="G313" s="36"/>
      <c r="H313" s="83"/>
      <c r="I313" s="36"/>
      <c r="J313" s="83">
        <f>498</f>
        <v>498</v>
      </c>
      <c r="K313" s="31">
        <f t="shared" si="22"/>
        <v>498</v>
      </c>
      <c r="L313" s="39">
        <v>13852.506</v>
      </c>
      <c r="M313" s="30">
        <v>14407.506</v>
      </c>
      <c r="N313" s="69">
        <f t="shared" si="17"/>
        <v>14905.506</v>
      </c>
      <c r="R313" s="68">
        <v>555</v>
      </c>
    </row>
    <row r="314" spans="1:18" ht="15">
      <c r="A314" s="34" t="s">
        <v>332</v>
      </c>
      <c r="B314" s="16">
        <v>6006</v>
      </c>
      <c r="C314" s="35"/>
      <c r="D314" s="83"/>
      <c r="E314" s="37">
        <f>35</f>
        <v>35</v>
      </c>
      <c r="F314" s="83"/>
      <c r="G314" s="36"/>
      <c r="H314" s="83"/>
      <c r="I314" s="36"/>
      <c r="J314" s="83"/>
      <c r="K314" s="31">
        <f t="shared" si="22"/>
        <v>35</v>
      </c>
      <c r="L314" s="39">
        <v>7568.5</v>
      </c>
      <c r="M314" s="30">
        <v>8568.5</v>
      </c>
      <c r="N314" s="69">
        <f t="shared" si="17"/>
        <v>8603.5</v>
      </c>
      <c r="R314" s="68">
        <v>1000</v>
      </c>
    </row>
    <row r="315" spans="1:18" ht="15">
      <c r="A315" s="34" t="s">
        <v>151</v>
      </c>
      <c r="B315" s="16">
        <v>6007</v>
      </c>
      <c r="C315" s="35"/>
      <c r="D315" s="85"/>
      <c r="E315" s="36"/>
      <c r="F315" s="85"/>
      <c r="G315" s="36"/>
      <c r="H315" s="85"/>
      <c r="I315" s="36"/>
      <c r="J315" s="85"/>
      <c r="K315" s="31">
        <f t="shared" si="22"/>
        <v>0</v>
      </c>
      <c r="L315" s="39">
        <v>1178</v>
      </c>
      <c r="M315" s="30">
        <v>1238</v>
      </c>
      <c r="N315" s="69">
        <f t="shared" si="17"/>
        <v>1238</v>
      </c>
      <c r="R315" s="68">
        <v>60</v>
      </c>
    </row>
    <row r="316" spans="1:18" ht="15">
      <c r="A316" s="34" t="s">
        <v>333</v>
      </c>
      <c r="B316" s="16">
        <v>6008</v>
      </c>
      <c r="C316" s="35"/>
      <c r="D316" s="85"/>
      <c r="E316" s="36"/>
      <c r="F316" s="85"/>
      <c r="G316" s="36"/>
      <c r="H316" s="85"/>
      <c r="I316" s="36"/>
      <c r="J316" s="85"/>
      <c r="K316" s="31">
        <f t="shared" si="22"/>
        <v>0</v>
      </c>
      <c r="L316" s="39">
        <v>1460</v>
      </c>
      <c r="M316" s="30">
        <v>2710</v>
      </c>
      <c r="N316" s="69">
        <f t="shared" si="17"/>
        <v>2710</v>
      </c>
      <c r="R316" s="68">
        <v>1250</v>
      </c>
    </row>
    <row r="317" spans="1:18" ht="15">
      <c r="A317" s="34" t="s">
        <v>334</v>
      </c>
      <c r="B317" s="16">
        <v>6009</v>
      </c>
      <c r="C317" s="35"/>
      <c r="D317" s="85"/>
      <c r="E317" s="36"/>
      <c r="F317" s="85"/>
      <c r="G317" s="36"/>
      <c r="H317" s="85"/>
      <c r="I317" s="36"/>
      <c r="J317" s="85"/>
      <c r="K317" s="31">
        <f t="shared" si="22"/>
        <v>0</v>
      </c>
      <c r="L317" s="39">
        <v>6097</v>
      </c>
      <c r="M317" s="30">
        <v>7370</v>
      </c>
      <c r="N317" s="69">
        <f t="shared" si="17"/>
        <v>7370</v>
      </c>
      <c r="R317" s="68">
        <v>1273</v>
      </c>
    </row>
    <row r="318" spans="1:18" ht="15">
      <c r="A318" s="34" t="s">
        <v>113</v>
      </c>
      <c r="B318" s="16">
        <v>6011</v>
      </c>
      <c r="C318" s="35"/>
      <c r="D318" s="85">
        <f>186</f>
        <v>186</v>
      </c>
      <c r="E318" s="36"/>
      <c r="F318" s="85"/>
      <c r="G318" s="36"/>
      <c r="H318" s="85"/>
      <c r="I318" s="36">
        <f>89</f>
        <v>89</v>
      </c>
      <c r="J318" s="85"/>
      <c r="K318" s="31">
        <f t="shared" si="22"/>
        <v>275</v>
      </c>
      <c r="L318" s="39">
        <v>4794.284</v>
      </c>
      <c r="M318" s="30">
        <v>4794.284</v>
      </c>
      <c r="N318" s="69">
        <f t="shared" si="17"/>
        <v>5069.284</v>
      </c>
      <c r="R318" s="68">
        <v>0</v>
      </c>
    </row>
    <row r="319" spans="1:18" ht="15">
      <c r="A319" s="34" t="s">
        <v>179</v>
      </c>
      <c r="B319" s="16">
        <v>6012</v>
      </c>
      <c r="C319" s="35"/>
      <c r="D319" s="85"/>
      <c r="E319" s="36"/>
      <c r="F319" s="85"/>
      <c r="G319" s="36"/>
      <c r="H319" s="85">
        <v>350</v>
      </c>
      <c r="I319" s="37"/>
      <c r="J319" s="85"/>
      <c r="K319" s="31">
        <f t="shared" si="22"/>
        <v>350</v>
      </c>
      <c r="L319" s="39">
        <v>1494</v>
      </c>
      <c r="M319" s="30">
        <v>1494</v>
      </c>
      <c r="N319" s="69">
        <f t="shared" si="17"/>
        <v>1844</v>
      </c>
      <c r="R319" s="68">
        <v>0</v>
      </c>
    </row>
    <row r="320" spans="1:18" ht="15">
      <c r="A320" s="34" t="s">
        <v>335</v>
      </c>
      <c r="B320" s="16">
        <v>6013</v>
      </c>
      <c r="C320" s="35"/>
      <c r="D320" s="85"/>
      <c r="E320" s="36"/>
      <c r="F320" s="85"/>
      <c r="G320" s="36"/>
      <c r="H320" s="85"/>
      <c r="I320" s="36">
        <f>520</f>
        <v>520</v>
      </c>
      <c r="J320" s="85">
        <f>83+25</f>
        <v>108</v>
      </c>
      <c r="K320" s="31">
        <f t="shared" si="22"/>
        <v>628</v>
      </c>
      <c r="L320" s="39">
        <v>263</v>
      </c>
      <c r="M320" s="30">
        <v>263</v>
      </c>
      <c r="N320" s="69">
        <f t="shared" si="17"/>
        <v>891</v>
      </c>
      <c r="R320" s="68">
        <v>0</v>
      </c>
    </row>
    <row r="321" spans="1:18" ht="27">
      <c r="A321" s="34" t="s">
        <v>180</v>
      </c>
      <c r="B321" s="16">
        <v>6014</v>
      </c>
      <c r="C321" s="35"/>
      <c r="D321" s="85">
        <f>500</f>
        <v>500</v>
      </c>
      <c r="E321" s="37"/>
      <c r="F321" s="85"/>
      <c r="G321" s="37"/>
      <c r="H321" s="85"/>
      <c r="I321" s="37"/>
      <c r="J321" s="85"/>
      <c r="K321" s="31">
        <f t="shared" si="22"/>
        <v>500</v>
      </c>
      <c r="L321" s="39">
        <v>4200.007</v>
      </c>
      <c r="M321" s="30">
        <v>4408.007</v>
      </c>
      <c r="N321" s="69">
        <f t="shared" si="17"/>
        <v>4908.007</v>
      </c>
      <c r="R321" s="68">
        <v>208</v>
      </c>
    </row>
    <row r="322" spans="1:18" ht="15">
      <c r="A322" s="34" t="s">
        <v>137</v>
      </c>
      <c r="B322" s="16">
        <v>6015</v>
      </c>
      <c r="C322" s="35">
        <f>3336</f>
        <v>3336</v>
      </c>
      <c r="D322" s="85"/>
      <c r="E322" s="37"/>
      <c r="F322" s="85"/>
      <c r="G322" s="36"/>
      <c r="H322" s="85"/>
      <c r="I322" s="36">
        <f>150</f>
        <v>150</v>
      </c>
      <c r="J322" s="85"/>
      <c r="K322" s="31">
        <f t="shared" si="22"/>
        <v>3486</v>
      </c>
      <c r="L322" s="39">
        <v>7954.585</v>
      </c>
      <c r="M322" s="30">
        <v>8024.585</v>
      </c>
      <c r="N322" s="69">
        <f t="shared" si="17"/>
        <v>11510.585</v>
      </c>
      <c r="R322" s="68">
        <v>70</v>
      </c>
    </row>
    <row r="323" spans="1:18" ht="15">
      <c r="A323" s="34" t="s">
        <v>336</v>
      </c>
      <c r="B323" s="16">
        <v>6016</v>
      </c>
      <c r="C323" s="35"/>
      <c r="D323" s="83"/>
      <c r="E323" s="37"/>
      <c r="F323" s="83"/>
      <c r="G323" s="36"/>
      <c r="H323" s="83"/>
      <c r="I323" s="36">
        <f>149+55</f>
        <v>204</v>
      </c>
      <c r="J323" s="83"/>
      <c r="K323" s="31">
        <f t="shared" si="22"/>
        <v>204</v>
      </c>
      <c r="L323" s="39">
        <v>9809.16</v>
      </c>
      <c r="M323" s="30">
        <v>10192.16</v>
      </c>
      <c r="N323" s="69">
        <f t="shared" si="17"/>
        <v>10396.16</v>
      </c>
      <c r="R323" s="68">
        <v>383</v>
      </c>
    </row>
    <row r="324" spans="1:18" ht="15">
      <c r="A324" s="34" t="s">
        <v>337</v>
      </c>
      <c r="B324" s="16">
        <v>6017</v>
      </c>
      <c r="C324" s="35"/>
      <c r="D324" s="85"/>
      <c r="E324" s="36"/>
      <c r="F324" s="85"/>
      <c r="G324" s="36"/>
      <c r="H324" s="85"/>
      <c r="I324" s="37"/>
      <c r="J324" s="85"/>
      <c r="K324" s="31">
        <f t="shared" si="22"/>
        <v>0</v>
      </c>
      <c r="L324" s="39">
        <v>1624</v>
      </c>
      <c r="M324" s="30">
        <v>1624</v>
      </c>
      <c r="N324" s="69">
        <f t="shared" si="17"/>
        <v>1624</v>
      </c>
      <c r="R324" s="68">
        <v>0</v>
      </c>
    </row>
    <row r="325" spans="1:18" ht="15">
      <c r="A325" s="34" t="s">
        <v>114</v>
      </c>
      <c r="B325" s="16">
        <v>6018</v>
      </c>
      <c r="C325" s="35"/>
      <c r="D325" s="85"/>
      <c r="E325" s="36"/>
      <c r="F325" s="85"/>
      <c r="G325" s="36"/>
      <c r="H325" s="85"/>
      <c r="I325" s="36"/>
      <c r="J325" s="85"/>
      <c r="K325" s="31">
        <f t="shared" si="22"/>
        <v>0</v>
      </c>
      <c r="L325" s="39">
        <v>205</v>
      </c>
      <c r="M325" s="30">
        <v>295</v>
      </c>
      <c r="N325" s="69">
        <f aca="true" t="shared" si="23" ref="N325:N362">M325+K325</f>
        <v>295</v>
      </c>
      <c r="R325" s="68">
        <v>90</v>
      </c>
    </row>
    <row r="326" spans="1:18" ht="15">
      <c r="A326" s="34" t="s">
        <v>338</v>
      </c>
      <c r="B326" s="16">
        <v>6019</v>
      </c>
      <c r="C326" s="35"/>
      <c r="D326" s="85"/>
      <c r="E326" s="36"/>
      <c r="F326" s="85"/>
      <c r="G326" s="36"/>
      <c r="H326" s="85"/>
      <c r="I326" s="36"/>
      <c r="J326" s="85"/>
      <c r="K326" s="31">
        <f t="shared" si="22"/>
        <v>0</v>
      </c>
      <c r="L326" s="39">
        <v>2826</v>
      </c>
      <c r="M326" s="30">
        <v>2826</v>
      </c>
      <c r="N326" s="69">
        <f t="shared" si="23"/>
        <v>2826</v>
      </c>
      <c r="R326" s="68">
        <v>0</v>
      </c>
    </row>
    <row r="327" spans="1:18" ht="15">
      <c r="A327" s="34" t="s">
        <v>200</v>
      </c>
      <c r="B327" s="16">
        <v>6021</v>
      </c>
      <c r="C327" s="35"/>
      <c r="D327" s="85"/>
      <c r="E327" s="36"/>
      <c r="F327" s="85"/>
      <c r="G327" s="36">
        <f>45</f>
        <v>45</v>
      </c>
      <c r="H327" s="85"/>
      <c r="I327" s="37"/>
      <c r="J327" s="85">
        <f>363</f>
        <v>363</v>
      </c>
      <c r="K327" s="31">
        <f t="shared" si="22"/>
        <v>408</v>
      </c>
      <c r="L327" s="39">
        <v>4607.062</v>
      </c>
      <c r="M327" s="30">
        <v>4687.062</v>
      </c>
      <c r="N327" s="69">
        <f t="shared" si="23"/>
        <v>5095.062</v>
      </c>
      <c r="R327" s="68">
        <v>80</v>
      </c>
    </row>
    <row r="328" spans="1:18" ht="15">
      <c r="A328" s="34" t="s">
        <v>339</v>
      </c>
      <c r="B328" s="16">
        <v>6022</v>
      </c>
      <c r="C328" s="35"/>
      <c r="D328" s="85"/>
      <c r="E328" s="36"/>
      <c r="F328" s="85"/>
      <c r="G328" s="36"/>
      <c r="H328" s="85"/>
      <c r="I328" s="37">
        <f>350</f>
        <v>350</v>
      </c>
      <c r="J328" s="85"/>
      <c r="K328" s="31">
        <f t="shared" si="22"/>
        <v>350</v>
      </c>
      <c r="L328" s="39">
        <v>1139</v>
      </c>
      <c r="M328" s="30">
        <v>1139</v>
      </c>
      <c r="N328" s="69">
        <f t="shared" si="23"/>
        <v>1489</v>
      </c>
      <c r="R328" s="68">
        <v>0</v>
      </c>
    </row>
    <row r="329" spans="1:18" ht="15">
      <c r="A329" s="34" t="s">
        <v>115</v>
      </c>
      <c r="B329" s="16">
        <v>6023</v>
      </c>
      <c r="C329" s="35"/>
      <c r="D329" s="85"/>
      <c r="E329" s="36"/>
      <c r="F329" s="85"/>
      <c r="G329" s="36"/>
      <c r="H329" s="85"/>
      <c r="I329" s="36">
        <f>350</f>
        <v>350</v>
      </c>
      <c r="J329" s="85"/>
      <c r="K329" s="31">
        <f t="shared" si="22"/>
        <v>350</v>
      </c>
      <c r="L329" s="39">
        <v>525</v>
      </c>
      <c r="M329" s="30">
        <v>545</v>
      </c>
      <c r="N329" s="69">
        <f t="shared" si="23"/>
        <v>895</v>
      </c>
      <c r="R329" s="68">
        <v>20</v>
      </c>
    </row>
    <row r="330" spans="1:18" ht="15">
      <c r="A330" s="34" t="s">
        <v>340</v>
      </c>
      <c r="B330" s="16">
        <v>6024</v>
      </c>
      <c r="C330" s="35"/>
      <c r="D330" s="85"/>
      <c r="E330" s="36"/>
      <c r="F330" s="85"/>
      <c r="G330" s="36"/>
      <c r="H330" s="85"/>
      <c r="I330" s="36"/>
      <c r="J330" s="85"/>
      <c r="K330" s="31">
        <f t="shared" si="22"/>
        <v>0</v>
      </c>
      <c r="L330" s="39">
        <v>3534</v>
      </c>
      <c r="M330" s="30">
        <v>3534</v>
      </c>
      <c r="N330" s="69">
        <f t="shared" si="23"/>
        <v>3534</v>
      </c>
      <c r="R330" s="68">
        <v>0</v>
      </c>
    </row>
    <row r="331" spans="1:18" ht="15">
      <c r="A331" s="34" t="s">
        <v>341</v>
      </c>
      <c r="B331" s="16">
        <v>6025</v>
      </c>
      <c r="C331" s="35"/>
      <c r="D331" s="85"/>
      <c r="E331" s="36"/>
      <c r="F331" s="85"/>
      <c r="G331" s="36"/>
      <c r="H331" s="85"/>
      <c r="I331" s="36"/>
      <c r="J331" s="85">
        <f>54</f>
        <v>54</v>
      </c>
      <c r="K331" s="31">
        <f t="shared" si="22"/>
        <v>54</v>
      </c>
      <c r="L331" s="39">
        <v>2100</v>
      </c>
      <c r="M331" s="30">
        <v>2100</v>
      </c>
      <c r="N331" s="69">
        <f t="shared" si="23"/>
        <v>2154</v>
      </c>
      <c r="R331" s="68">
        <v>0</v>
      </c>
    </row>
    <row r="332" spans="1:18" ht="15">
      <c r="A332" s="34" t="s">
        <v>116</v>
      </c>
      <c r="B332" s="16">
        <v>6026</v>
      </c>
      <c r="C332" s="35"/>
      <c r="D332" s="85"/>
      <c r="E332" s="37"/>
      <c r="F332" s="85"/>
      <c r="G332" s="36"/>
      <c r="H332" s="85"/>
      <c r="I332" s="36"/>
      <c r="J332" s="85"/>
      <c r="K332" s="31">
        <f t="shared" si="22"/>
        <v>0</v>
      </c>
      <c r="L332" s="39">
        <v>1868</v>
      </c>
      <c r="M332" s="30">
        <v>1868</v>
      </c>
      <c r="N332" s="69">
        <f t="shared" si="23"/>
        <v>1868</v>
      </c>
      <c r="R332" s="68">
        <v>0</v>
      </c>
    </row>
    <row r="333" spans="1:18" ht="15">
      <c r="A333" s="34" t="s">
        <v>342</v>
      </c>
      <c r="B333" s="16">
        <v>6027</v>
      </c>
      <c r="C333" s="35"/>
      <c r="D333" s="85"/>
      <c r="E333" s="36"/>
      <c r="F333" s="85"/>
      <c r="G333" s="36">
        <f>1</f>
        <v>1</v>
      </c>
      <c r="H333" s="85">
        <v>2000</v>
      </c>
      <c r="I333" s="36">
        <f>150+30</f>
        <v>180</v>
      </c>
      <c r="J333" s="85"/>
      <c r="K333" s="31">
        <f>SUM(C333:J333)</f>
        <v>2181</v>
      </c>
      <c r="L333" s="39">
        <v>3431</v>
      </c>
      <c r="M333" s="30">
        <v>3431</v>
      </c>
      <c r="N333" s="69">
        <f t="shared" si="23"/>
        <v>5612</v>
      </c>
      <c r="R333" s="68">
        <v>0</v>
      </c>
    </row>
    <row r="334" spans="1:18" ht="15">
      <c r="A334" s="34" t="s">
        <v>117</v>
      </c>
      <c r="B334" s="16">
        <v>6028</v>
      </c>
      <c r="C334" s="35"/>
      <c r="D334" s="83"/>
      <c r="E334" s="36"/>
      <c r="F334" s="83"/>
      <c r="G334" s="36"/>
      <c r="H334" s="83"/>
      <c r="I334" s="36">
        <f>150</f>
        <v>150</v>
      </c>
      <c r="J334" s="83">
        <f>178</f>
        <v>178</v>
      </c>
      <c r="K334" s="31">
        <f t="shared" si="22"/>
        <v>328</v>
      </c>
      <c r="L334" s="39">
        <v>1373.37</v>
      </c>
      <c r="M334" s="30">
        <v>1373.37</v>
      </c>
      <c r="N334" s="69">
        <f t="shared" si="23"/>
        <v>1701.37</v>
      </c>
      <c r="R334" s="68">
        <v>0</v>
      </c>
    </row>
    <row r="335" spans="1:18" ht="15">
      <c r="A335" s="34" t="s">
        <v>343</v>
      </c>
      <c r="B335" s="16">
        <v>6029</v>
      </c>
      <c r="C335" s="35"/>
      <c r="D335" s="85"/>
      <c r="E335" s="36"/>
      <c r="F335" s="85"/>
      <c r="G335" s="36"/>
      <c r="H335" s="85"/>
      <c r="I335" s="36"/>
      <c r="J335" s="85"/>
      <c r="K335" s="31">
        <f t="shared" si="22"/>
        <v>0</v>
      </c>
      <c r="L335" s="39">
        <v>4390</v>
      </c>
      <c r="M335" s="30">
        <v>4390</v>
      </c>
      <c r="N335" s="69">
        <f t="shared" si="23"/>
        <v>4390</v>
      </c>
      <c r="R335" s="68">
        <v>0</v>
      </c>
    </row>
    <row r="336" spans="1:18" ht="15">
      <c r="A336" s="34" t="s">
        <v>344</v>
      </c>
      <c r="B336" s="16">
        <v>6031</v>
      </c>
      <c r="C336" s="35">
        <v>643</v>
      </c>
      <c r="D336" s="85"/>
      <c r="E336" s="36"/>
      <c r="F336" s="85"/>
      <c r="G336" s="36"/>
      <c r="H336" s="85"/>
      <c r="I336" s="36"/>
      <c r="J336" s="85"/>
      <c r="K336" s="31">
        <f t="shared" si="22"/>
        <v>643</v>
      </c>
      <c r="L336" s="39">
        <v>4065</v>
      </c>
      <c r="M336" s="30">
        <v>4065</v>
      </c>
      <c r="N336" s="69">
        <f t="shared" si="23"/>
        <v>4708</v>
      </c>
      <c r="R336" s="68">
        <v>0</v>
      </c>
    </row>
    <row r="337" spans="1:18" ht="15">
      <c r="A337" s="34" t="s">
        <v>181</v>
      </c>
      <c r="B337" s="16">
        <v>6032</v>
      </c>
      <c r="C337" s="35"/>
      <c r="D337" s="85"/>
      <c r="E337" s="37"/>
      <c r="F337" s="85"/>
      <c r="G337" s="36">
        <f>19</f>
        <v>19</v>
      </c>
      <c r="H337" s="85"/>
      <c r="I337" s="36">
        <f>72</f>
        <v>72</v>
      </c>
      <c r="J337" s="85"/>
      <c r="K337" s="31">
        <f t="shared" si="22"/>
        <v>91</v>
      </c>
      <c r="L337" s="39">
        <v>3805.958</v>
      </c>
      <c r="M337" s="30">
        <v>3865.958</v>
      </c>
      <c r="N337" s="69">
        <f t="shared" si="23"/>
        <v>3956.958</v>
      </c>
      <c r="R337" s="68">
        <v>60</v>
      </c>
    </row>
    <row r="338" spans="1:18" ht="15">
      <c r="A338" s="34" t="s">
        <v>118</v>
      </c>
      <c r="B338" s="16">
        <v>6033</v>
      </c>
      <c r="C338" s="35"/>
      <c r="D338" s="83">
        <f>3950+1180+50</f>
        <v>5180</v>
      </c>
      <c r="E338" s="37">
        <f>35</f>
        <v>35</v>
      </c>
      <c r="F338" s="83"/>
      <c r="G338" s="36"/>
      <c r="H338" s="83"/>
      <c r="I338" s="36">
        <f>20</f>
        <v>20</v>
      </c>
      <c r="J338" s="83">
        <f>266+282</f>
        <v>548</v>
      </c>
      <c r="K338" s="31">
        <f t="shared" si="22"/>
        <v>5783</v>
      </c>
      <c r="L338" s="39">
        <v>62922.880000000005</v>
      </c>
      <c r="M338" s="30">
        <v>68086.88</v>
      </c>
      <c r="N338" s="69">
        <f t="shared" si="23"/>
        <v>73869.88</v>
      </c>
      <c r="R338" s="68">
        <v>5164</v>
      </c>
    </row>
    <row r="339" spans="1:18" ht="15">
      <c r="A339" s="34" t="s">
        <v>345</v>
      </c>
      <c r="B339" s="16">
        <v>6034</v>
      </c>
      <c r="C339" s="35"/>
      <c r="D339" s="85"/>
      <c r="E339" s="36"/>
      <c r="F339" s="85"/>
      <c r="G339" s="36"/>
      <c r="H339" s="85"/>
      <c r="I339" s="36"/>
      <c r="J339" s="85"/>
      <c r="K339" s="31">
        <f t="shared" si="22"/>
        <v>0</v>
      </c>
      <c r="L339" s="39">
        <v>240</v>
      </c>
      <c r="M339" s="30">
        <v>240</v>
      </c>
      <c r="N339" s="69">
        <f t="shared" si="23"/>
        <v>240</v>
      </c>
      <c r="R339" s="68">
        <v>0</v>
      </c>
    </row>
    <row r="340" spans="1:18" ht="15">
      <c r="A340" s="34" t="s">
        <v>346</v>
      </c>
      <c r="B340" s="16">
        <v>6035</v>
      </c>
      <c r="C340" s="35"/>
      <c r="D340" s="85"/>
      <c r="E340" s="36"/>
      <c r="F340" s="85"/>
      <c r="G340" s="36"/>
      <c r="H340" s="85"/>
      <c r="I340" s="36"/>
      <c r="J340" s="85"/>
      <c r="K340" s="31">
        <f t="shared" si="22"/>
        <v>0</v>
      </c>
      <c r="L340" s="39">
        <v>4635</v>
      </c>
      <c r="M340" s="30">
        <v>4635</v>
      </c>
      <c r="N340" s="69">
        <f t="shared" si="23"/>
        <v>4635</v>
      </c>
      <c r="R340" s="68">
        <v>0</v>
      </c>
    </row>
    <row r="341" spans="1:18" ht="15">
      <c r="A341" s="34" t="s">
        <v>347</v>
      </c>
      <c r="B341" s="16">
        <v>6036</v>
      </c>
      <c r="C341" s="35">
        <v>495</v>
      </c>
      <c r="D341" s="85"/>
      <c r="E341" s="37"/>
      <c r="F341" s="85"/>
      <c r="G341" s="36"/>
      <c r="H341" s="85"/>
      <c r="I341" s="36"/>
      <c r="J341" s="85"/>
      <c r="K341" s="31">
        <f t="shared" si="22"/>
        <v>495</v>
      </c>
      <c r="L341" s="39">
        <v>1912</v>
      </c>
      <c r="M341" s="30">
        <v>3349</v>
      </c>
      <c r="N341" s="69">
        <f t="shared" si="23"/>
        <v>3844</v>
      </c>
      <c r="R341" s="68">
        <v>1437</v>
      </c>
    </row>
    <row r="342" spans="1:18" ht="15.75" thickBot="1">
      <c r="A342" s="34" t="s">
        <v>348</v>
      </c>
      <c r="B342" s="20">
        <v>6037</v>
      </c>
      <c r="C342" s="40"/>
      <c r="D342" s="85"/>
      <c r="E342" s="36"/>
      <c r="F342" s="85"/>
      <c r="G342" s="36"/>
      <c r="H342" s="85"/>
      <c r="I342" s="36"/>
      <c r="J342" s="85"/>
      <c r="K342" s="31">
        <f t="shared" si="22"/>
        <v>0</v>
      </c>
      <c r="L342" s="39">
        <v>3643</v>
      </c>
      <c r="M342" s="30">
        <v>3643</v>
      </c>
      <c r="N342" s="69">
        <f t="shared" si="23"/>
        <v>3643</v>
      </c>
      <c r="R342" s="68">
        <v>0</v>
      </c>
    </row>
    <row r="343" spans="1:44" s="9" customFormat="1" ht="15">
      <c r="A343" s="77" t="s">
        <v>349</v>
      </c>
      <c r="B343" s="79"/>
      <c r="C343" s="76">
        <f>SUM(C344:C366)</f>
        <v>12</v>
      </c>
      <c r="D343" s="38">
        <f aca="true" t="shared" si="24" ref="D343:J343">SUM(D344:D366)</f>
        <v>2289</v>
      </c>
      <c r="E343" s="38">
        <f t="shared" si="24"/>
        <v>585</v>
      </c>
      <c r="F343" s="38">
        <f t="shared" si="24"/>
        <v>0</v>
      </c>
      <c r="G343" s="38">
        <f t="shared" si="24"/>
        <v>1429</v>
      </c>
      <c r="H343" s="38">
        <f t="shared" si="24"/>
        <v>778</v>
      </c>
      <c r="I343" s="38">
        <f>SUM(I344:I366)</f>
        <v>2882</v>
      </c>
      <c r="J343" s="38">
        <f t="shared" si="24"/>
        <v>1049</v>
      </c>
      <c r="K343" s="38">
        <f>SUM(K344:K366)</f>
        <v>9024</v>
      </c>
      <c r="L343" s="80">
        <v>307775.04916</v>
      </c>
      <c r="M343" s="81">
        <v>321474.04916</v>
      </c>
      <c r="N343" s="82">
        <f t="shared" si="23"/>
        <v>330498.04916</v>
      </c>
      <c r="O343" s="1"/>
      <c r="P343" s="1"/>
      <c r="Q343" s="1"/>
      <c r="R343" s="68">
        <v>13701</v>
      </c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18" ht="15">
      <c r="A344" s="34" t="s">
        <v>119</v>
      </c>
      <c r="B344" s="15">
        <v>7001</v>
      </c>
      <c r="C344" s="35"/>
      <c r="D344" s="85"/>
      <c r="E344" s="36"/>
      <c r="F344" s="85"/>
      <c r="G344" s="36"/>
      <c r="H344" s="85"/>
      <c r="I344" s="36">
        <f>228</f>
        <v>228</v>
      </c>
      <c r="J344" s="85">
        <f>266</f>
        <v>266</v>
      </c>
      <c r="K344" s="31">
        <f>J344+I344+H344+G344+F344+E344+D344+C344</f>
        <v>494</v>
      </c>
      <c r="L344" s="39">
        <v>2743</v>
      </c>
      <c r="M344" s="30">
        <v>2743</v>
      </c>
      <c r="N344" s="69">
        <f t="shared" si="23"/>
        <v>3237</v>
      </c>
      <c r="R344" s="68">
        <v>0</v>
      </c>
    </row>
    <row r="345" spans="1:18" ht="15">
      <c r="A345" s="34" t="s">
        <v>350</v>
      </c>
      <c r="B345" s="16">
        <v>7002</v>
      </c>
      <c r="C345" s="35">
        <v>12</v>
      </c>
      <c r="D345" s="85"/>
      <c r="E345" s="36"/>
      <c r="F345" s="85"/>
      <c r="G345" s="36"/>
      <c r="H345" s="85"/>
      <c r="I345" s="36"/>
      <c r="J345" s="85"/>
      <c r="K345" s="31">
        <f aca="true" t="shared" si="25" ref="K345:K366">J345+I345+H345+G345+F345+E345+D345+C345</f>
        <v>12</v>
      </c>
      <c r="L345" s="39">
        <v>714</v>
      </c>
      <c r="M345" s="30">
        <v>3602</v>
      </c>
      <c r="N345" s="69">
        <f t="shared" si="23"/>
        <v>3614</v>
      </c>
      <c r="R345" s="68">
        <v>2888</v>
      </c>
    </row>
    <row r="346" spans="1:18" ht="15">
      <c r="A346" s="34" t="s">
        <v>120</v>
      </c>
      <c r="B346" s="16">
        <v>7003</v>
      </c>
      <c r="C346" s="35"/>
      <c r="D346" s="85"/>
      <c r="E346" s="36"/>
      <c r="F346" s="85"/>
      <c r="G346" s="36"/>
      <c r="H346" s="85"/>
      <c r="I346" s="36"/>
      <c r="J346" s="85"/>
      <c r="K346" s="31">
        <f t="shared" si="25"/>
        <v>0</v>
      </c>
      <c r="L346" s="39">
        <v>1322</v>
      </c>
      <c r="M346" s="30">
        <v>1691</v>
      </c>
      <c r="N346" s="69">
        <f t="shared" si="23"/>
        <v>1691</v>
      </c>
      <c r="R346" s="68">
        <v>369</v>
      </c>
    </row>
    <row r="347" spans="1:18" ht="15">
      <c r="A347" s="34" t="s">
        <v>351</v>
      </c>
      <c r="B347" s="16">
        <v>7004</v>
      </c>
      <c r="C347" s="35"/>
      <c r="D347" s="85"/>
      <c r="E347" s="37"/>
      <c r="F347" s="85"/>
      <c r="G347" s="36"/>
      <c r="H347" s="85"/>
      <c r="I347" s="36">
        <f>200+1500</f>
        <v>1700</v>
      </c>
      <c r="J347" s="85"/>
      <c r="K347" s="31">
        <f t="shared" si="25"/>
        <v>1700</v>
      </c>
      <c r="L347" s="39">
        <v>580.5</v>
      </c>
      <c r="M347" s="30">
        <v>773.5</v>
      </c>
      <c r="N347" s="69">
        <f t="shared" si="23"/>
        <v>2473.5</v>
      </c>
      <c r="R347" s="68">
        <v>193</v>
      </c>
    </row>
    <row r="348" spans="1:18" ht="15">
      <c r="A348" s="34" t="s">
        <v>352</v>
      </c>
      <c r="B348" s="16">
        <v>7005</v>
      </c>
      <c r="C348" s="35"/>
      <c r="D348" s="85">
        <f>300</f>
        <v>300</v>
      </c>
      <c r="E348" s="37"/>
      <c r="F348" s="85"/>
      <c r="G348" s="36"/>
      <c r="H348" s="85"/>
      <c r="I348" s="36"/>
      <c r="J348" s="85"/>
      <c r="K348" s="31">
        <f t="shared" si="25"/>
        <v>300</v>
      </c>
      <c r="L348" s="39">
        <v>2940.3</v>
      </c>
      <c r="M348" s="30">
        <v>3140.3</v>
      </c>
      <c r="N348" s="69">
        <f t="shared" si="23"/>
        <v>3440.3</v>
      </c>
      <c r="R348" s="68">
        <v>200</v>
      </c>
    </row>
    <row r="349" spans="1:18" ht="15">
      <c r="A349" s="34" t="s">
        <v>152</v>
      </c>
      <c r="B349" s="16">
        <v>7006</v>
      </c>
      <c r="C349" s="35"/>
      <c r="D349" s="85"/>
      <c r="E349" s="36"/>
      <c r="F349" s="85"/>
      <c r="G349" s="36"/>
      <c r="H349" s="85"/>
      <c r="I349" s="36"/>
      <c r="J349" s="85"/>
      <c r="K349" s="31">
        <f t="shared" si="25"/>
        <v>0</v>
      </c>
      <c r="L349" s="39">
        <v>1707</v>
      </c>
      <c r="M349" s="30">
        <v>2637</v>
      </c>
      <c r="N349" s="69">
        <f t="shared" si="23"/>
        <v>2637</v>
      </c>
      <c r="R349" s="68">
        <v>930</v>
      </c>
    </row>
    <row r="350" spans="1:18" ht="15">
      <c r="A350" s="34" t="s">
        <v>353</v>
      </c>
      <c r="B350" s="16">
        <v>7007</v>
      </c>
      <c r="C350" s="35"/>
      <c r="D350" s="85"/>
      <c r="E350" s="36"/>
      <c r="F350" s="85"/>
      <c r="G350" s="36">
        <f>1</f>
        <v>1</v>
      </c>
      <c r="H350" s="85"/>
      <c r="I350" s="37"/>
      <c r="J350" s="85"/>
      <c r="K350" s="31">
        <f t="shared" si="25"/>
        <v>1</v>
      </c>
      <c r="L350" s="39">
        <v>3917</v>
      </c>
      <c r="M350" s="30">
        <v>3917</v>
      </c>
      <c r="N350" s="69">
        <f t="shared" si="23"/>
        <v>3918</v>
      </c>
      <c r="R350" s="68">
        <v>0</v>
      </c>
    </row>
    <row r="351" spans="1:18" ht="15">
      <c r="A351" s="34" t="s">
        <v>182</v>
      </c>
      <c r="B351" s="16">
        <v>7008</v>
      </c>
      <c r="C351" s="35"/>
      <c r="D351" s="85"/>
      <c r="E351" s="36"/>
      <c r="F351" s="85"/>
      <c r="G351" s="36"/>
      <c r="H351" s="85"/>
      <c r="I351" s="37">
        <f>134</f>
        <v>134</v>
      </c>
      <c r="J351" s="85"/>
      <c r="K351" s="31">
        <f t="shared" si="25"/>
        <v>134</v>
      </c>
      <c r="L351" s="39">
        <v>1887</v>
      </c>
      <c r="M351" s="30">
        <v>3137</v>
      </c>
      <c r="N351" s="69">
        <f t="shared" si="23"/>
        <v>3271</v>
      </c>
      <c r="R351" s="68">
        <v>1250</v>
      </c>
    </row>
    <row r="352" spans="1:18" ht="15">
      <c r="A352" s="34" t="s">
        <v>121</v>
      </c>
      <c r="B352" s="16">
        <v>7009</v>
      </c>
      <c r="C352" s="40"/>
      <c r="D352" s="85"/>
      <c r="E352" s="36"/>
      <c r="F352" s="85"/>
      <c r="G352" s="36"/>
      <c r="H352" s="85"/>
      <c r="I352" s="36">
        <f>100</f>
        <v>100</v>
      </c>
      <c r="J352" s="85"/>
      <c r="K352" s="31">
        <f t="shared" si="25"/>
        <v>100</v>
      </c>
      <c r="L352" s="39">
        <v>5391.514</v>
      </c>
      <c r="M352" s="30">
        <v>8335.514</v>
      </c>
      <c r="N352" s="69">
        <f t="shared" si="23"/>
        <v>8435.514</v>
      </c>
      <c r="R352" s="68">
        <v>2944</v>
      </c>
    </row>
    <row r="353" spans="1:18" ht="15">
      <c r="A353" s="34" t="s">
        <v>122</v>
      </c>
      <c r="B353" s="16">
        <v>7011</v>
      </c>
      <c r="C353" s="40"/>
      <c r="D353" s="85"/>
      <c r="E353" s="36"/>
      <c r="F353" s="85"/>
      <c r="G353" s="36"/>
      <c r="H353" s="85"/>
      <c r="I353" s="36"/>
      <c r="J353" s="85"/>
      <c r="K353" s="31">
        <f t="shared" si="25"/>
        <v>0</v>
      </c>
      <c r="L353" s="39">
        <v>5372.07</v>
      </c>
      <c r="M353" s="30">
        <v>5372.07</v>
      </c>
      <c r="N353" s="69">
        <f t="shared" si="23"/>
        <v>5372.07</v>
      </c>
      <c r="R353" s="68">
        <v>0</v>
      </c>
    </row>
    <row r="354" spans="1:18" ht="15">
      <c r="A354" s="34" t="s">
        <v>354</v>
      </c>
      <c r="B354" s="16">
        <v>7012</v>
      </c>
      <c r="C354" s="35"/>
      <c r="D354" s="85"/>
      <c r="E354" s="36"/>
      <c r="F354" s="85"/>
      <c r="G354" s="36"/>
      <c r="H354" s="85"/>
      <c r="I354" s="37">
        <f>20</f>
        <v>20</v>
      </c>
      <c r="J354" s="85"/>
      <c r="K354" s="31">
        <f t="shared" si="25"/>
        <v>20</v>
      </c>
      <c r="L354" s="39">
        <v>4219.5</v>
      </c>
      <c r="M354" s="30">
        <v>5469.5</v>
      </c>
      <c r="N354" s="69">
        <f t="shared" si="23"/>
        <v>5489.5</v>
      </c>
      <c r="R354" s="68">
        <v>1250</v>
      </c>
    </row>
    <row r="355" spans="1:18" ht="15">
      <c r="A355" s="34" t="s">
        <v>123</v>
      </c>
      <c r="B355" s="16">
        <v>7013</v>
      </c>
      <c r="C355" s="35"/>
      <c r="D355" s="85"/>
      <c r="E355" s="36">
        <f>161</f>
        <v>161</v>
      </c>
      <c r="F355" s="85"/>
      <c r="G355" s="36"/>
      <c r="H355" s="85"/>
      <c r="I355" s="36"/>
      <c r="J355" s="85">
        <f>20</f>
        <v>20</v>
      </c>
      <c r="K355" s="31">
        <f t="shared" si="25"/>
        <v>181</v>
      </c>
      <c r="L355" s="39">
        <v>1647</v>
      </c>
      <c r="M355" s="30">
        <v>1897</v>
      </c>
      <c r="N355" s="69">
        <f t="shared" si="23"/>
        <v>2078</v>
      </c>
      <c r="R355" s="68">
        <v>250</v>
      </c>
    </row>
    <row r="356" spans="1:18" ht="15">
      <c r="A356" s="34" t="s">
        <v>124</v>
      </c>
      <c r="B356" s="16">
        <v>7014</v>
      </c>
      <c r="C356" s="35"/>
      <c r="D356" s="83">
        <f>263</f>
        <v>263</v>
      </c>
      <c r="E356" s="36"/>
      <c r="F356" s="83"/>
      <c r="G356" s="36"/>
      <c r="H356" s="83"/>
      <c r="I356" s="36"/>
      <c r="J356" s="83"/>
      <c r="K356" s="31">
        <f t="shared" si="25"/>
        <v>263</v>
      </c>
      <c r="L356" s="39">
        <v>2792</v>
      </c>
      <c r="M356" s="30">
        <v>3050</v>
      </c>
      <c r="N356" s="69">
        <f t="shared" si="23"/>
        <v>3313</v>
      </c>
      <c r="R356" s="68">
        <v>258</v>
      </c>
    </row>
    <row r="357" spans="1:18" ht="15">
      <c r="A357" s="34" t="s">
        <v>153</v>
      </c>
      <c r="B357" s="16">
        <v>7015</v>
      </c>
      <c r="C357" s="35"/>
      <c r="D357" s="85"/>
      <c r="E357" s="37"/>
      <c r="F357" s="85"/>
      <c r="G357" s="36"/>
      <c r="H357" s="85"/>
      <c r="I357" s="37">
        <f>30</f>
        <v>30</v>
      </c>
      <c r="J357" s="85"/>
      <c r="K357" s="31">
        <f t="shared" si="25"/>
        <v>30</v>
      </c>
      <c r="L357" s="39">
        <v>3615</v>
      </c>
      <c r="M357" s="30">
        <v>3615</v>
      </c>
      <c r="N357" s="69">
        <f t="shared" si="23"/>
        <v>3645</v>
      </c>
      <c r="R357" s="68">
        <v>0</v>
      </c>
    </row>
    <row r="358" spans="1:18" ht="15">
      <c r="A358" s="34" t="s">
        <v>355</v>
      </c>
      <c r="B358" s="16">
        <v>7016</v>
      </c>
      <c r="C358" s="35"/>
      <c r="D358" s="85"/>
      <c r="E358" s="36"/>
      <c r="F358" s="85"/>
      <c r="G358" s="36">
        <f>2</f>
        <v>2</v>
      </c>
      <c r="H358" s="85"/>
      <c r="I358" s="37">
        <f>100</f>
        <v>100</v>
      </c>
      <c r="J358" s="85"/>
      <c r="K358" s="31">
        <f t="shared" si="25"/>
        <v>102</v>
      </c>
      <c r="L358" s="39">
        <v>5614</v>
      </c>
      <c r="M358" s="30">
        <v>5914</v>
      </c>
      <c r="N358" s="69">
        <f t="shared" si="23"/>
        <v>6016</v>
      </c>
      <c r="R358" s="68">
        <v>300</v>
      </c>
    </row>
    <row r="359" spans="1:18" ht="15">
      <c r="A359" s="34" t="s">
        <v>356</v>
      </c>
      <c r="B359" s="16">
        <v>7017</v>
      </c>
      <c r="C359" s="40"/>
      <c r="D359" s="85"/>
      <c r="E359" s="36"/>
      <c r="F359" s="85"/>
      <c r="G359" s="36"/>
      <c r="H359" s="85"/>
      <c r="I359" s="36"/>
      <c r="J359" s="85"/>
      <c r="K359" s="31">
        <f t="shared" si="25"/>
        <v>0</v>
      </c>
      <c r="L359" s="39">
        <v>3239</v>
      </c>
      <c r="M359" s="30">
        <v>3239</v>
      </c>
      <c r="N359" s="69">
        <f t="shared" si="23"/>
        <v>3239</v>
      </c>
      <c r="R359" s="68">
        <v>0</v>
      </c>
    </row>
    <row r="360" spans="1:18" ht="15">
      <c r="A360" s="34" t="s">
        <v>357</v>
      </c>
      <c r="B360" s="16">
        <v>7018</v>
      </c>
      <c r="C360" s="35"/>
      <c r="D360" s="85"/>
      <c r="E360" s="37"/>
      <c r="F360" s="85"/>
      <c r="G360" s="36"/>
      <c r="H360" s="85"/>
      <c r="I360" s="36">
        <f>134</f>
        <v>134</v>
      </c>
      <c r="J360" s="85"/>
      <c r="K360" s="31">
        <f t="shared" si="25"/>
        <v>134</v>
      </c>
      <c r="L360" s="39">
        <v>4675.768</v>
      </c>
      <c r="M360" s="30">
        <v>4725.768</v>
      </c>
      <c r="N360" s="69">
        <f t="shared" si="23"/>
        <v>4859.768</v>
      </c>
      <c r="R360" s="68">
        <v>50</v>
      </c>
    </row>
    <row r="361" spans="1:18" ht="15">
      <c r="A361" s="34" t="s">
        <v>125</v>
      </c>
      <c r="B361" s="16">
        <v>7019</v>
      </c>
      <c r="C361" s="40"/>
      <c r="D361" s="83"/>
      <c r="E361" s="36">
        <f>50</f>
        <v>50</v>
      </c>
      <c r="F361" s="83"/>
      <c r="G361" s="36"/>
      <c r="H361" s="83">
        <v>238</v>
      </c>
      <c r="I361" s="36"/>
      <c r="J361" s="83"/>
      <c r="K361" s="31">
        <f t="shared" si="25"/>
        <v>288</v>
      </c>
      <c r="L361" s="39">
        <v>4685.74716</v>
      </c>
      <c r="M361" s="30">
        <v>4765.74716</v>
      </c>
      <c r="N361" s="69">
        <f t="shared" si="23"/>
        <v>5053.74716</v>
      </c>
      <c r="R361" s="68">
        <v>80</v>
      </c>
    </row>
    <row r="362" spans="1:18" ht="15">
      <c r="A362" s="34" t="s">
        <v>126</v>
      </c>
      <c r="B362" s="16">
        <v>7021</v>
      </c>
      <c r="C362" s="35"/>
      <c r="D362" s="85"/>
      <c r="E362" s="36"/>
      <c r="F362" s="85"/>
      <c r="G362" s="36"/>
      <c r="H362" s="85"/>
      <c r="I362" s="36"/>
      <c r="J362" s="85">
        <f>378</f>
        <v>378</v>
      </c>
      <c r="K362" s="31">
        <f t="shared" si="25"/>
        <v>378</v>
      </c>
      <c r="L362" s="39">
        <v>1986.15</v>
      </c>
      <c r="M362" s="30">
        <v>2210.15</v>
      </c>
      <c r="N362" s="69">
        <f t="shared" si="23"/>
        <v>2588.15</v>
      </c>
      <c r="R362" s="68">
        <v>224</v>
      </c>
    </row>
    <row r="363" spans="1:18" ht="15">
      <c r="A363" s="34" t="s">
        <v>127</v>
      </c>
      <c r="B363" s="16">
        <v>7022</v>
      </c>
      <c r="C363" s="40"/>
      <c r="D363" s="83">
        <f>1500+190</f>
        <v>1690</v>
      </c>
      <c r="E363" s="37">
        <f>354+20</f>
        <v>374</v>
      </c>
      <c r="F363" s="83"/>
      <c r="G363" s="37">
        <f>132+294+1000</f>
        <v>1426</v>
      </c>
      <c r="H363" s="83"/>
      <c r="I363" s="37">
        <f>126</f>
        <v>126</v>
      </c>
      <c r="J363" s="83">
        <f>385</f>
        <v>385</v>
      </c>
      <c r="K363" s="31">
        <f>J363+I363+H363+G363+F363+E363+D363+C363</f>
        <v>4001</v>
      </c>
      <c r="L363" s="39">
        <v>228829.201</v>
      </c>
      <c r="M363" s="30">
        <v>230751.201</v>
      </c>
      <c r="N363" s="69">
        <f>M363+K363</f>
        <v>234752.201</v>
      </c>
      <c r="R363" s="68">
        <v>1922</v>
      </c>
    </row>
    <row r="364" spans="1:18" ht="15">
      <c r="A364" s="34" t="s">
        <v>128</v>
      </c>
      <c r="B364" s="16">
        <v>7023</v>
      </c>
      <c r="C364" s="35"/>
      <c r="D364" s="85"/>
      <c r="E364" s="36"/>
      <c r="F364" s="85"/>
      <c r="G364" s="36"/>
      <c r="H364" s="85">
        <v>350</v>
      </c>
      <c r="I364" s="36">
        <f>135</f>
        <v>135</v>
      </c>
      <c r="J364" s="85"/>
      <c r="K364" s="31">
        <f t="shared" si="25"/>
        <v>485</v>
      </c>
      <c r="L364" s="39">
        <v>7375.299</v>
      </c>
      <c r="M364" s="30">
        <v>7405.299</v>
      </c>
      <c r="N364" s="69">
        <f aca="true" t="shared" si="26" ref="N364:N366">M364+K364</f>
        <v>7890.299</v>
      </c>
      <c r="R364" s="68">
        <v>30</v>
      </c>
    </row>
    <row r="365" spans="1:18" ht="15">
      <c r="A365" s="34" t="s">
        <v>129</v>
      </c>
      <c r="B365" s="16">
        <v>7024</v>
      </c>
      <c r="C365" s="35"/>
      <c r="D365" s="85">
        <f>36</f>
        <v>36</v>
      </c>
      <c r="E365" s="36"/>
      <c r="F365" s="85"/>
      <c r="G365" s="36"/>
      <c r="H365" s="85"/>
      <c r="I365" s="36">
        <v>175</v>
      </c>
      <c r="J365" s="85"/>
      <c r="K365" s="31">
        <f t="shared" si="25"/>
        <v>211</v>
      </c>
      <c r="L365" s="39">
        <v>6791</v>
      </c>
      <c r="M365" s="30">
        <v>7354</v>
      </c>
      <c r="N365" s="69">
        <f t="shared" si="26"/>
        <v>7565</v>
      </c>
      <c r="R365" s="68">
        <v>563</v>
      </c>
    </row>
    <row r="366" spans="1:18" ht="15.75" thickBot="1">
      <c r="A366" s="43" t="s">
        <v>130</v>
      </c>
      <c r="B366" s="16">
        <v>7025</v>
      </c>
      <c r="C366" s="44"/>
      <c r="D366" s="87"/>
      <c r="E366" s="45"/>
      <c r="F366" s="87"/>
      <c r="G366" s="45"/>
      <c r="H366" s="87">
        <f>190</f>
        <v>190</v>
      </c>
      <c r="I366" s="45"/>
      <c r="J366" s="87"/>
      <c r="K366" s="71">
        <f t="shared" si="25"/>
        <v>190</v>
      </c>
      <c r="L366" s="46">
        <v>5731</v>
      </c>
      <c r="M366" s="47">
        <v>5731</v>
      </c>
      <c r="N366" s="69">
        <f t="shared" si="26"/>
        <v>5921</v>
      </c>
      <c r="R366" s="68">
        <v>0</v>
      </c>
    </row>
    <row r="367" ht="15">
      <c r="G367" s="3"/>
    </row>
    <row r="368" spans="1:7" ht="16.5">
      <c r="A368" s="91" t="s">
        <v>358</v>
      </c>
      <c r="B368" s="91"/>
      <c r="C368" s="91"/>
      <c r="D368" s="91"/>
      <c r="G368" s="3"/>
    </row>
    <row r="369" spans="1:13" s="1" customFormat="1" ht="16.5">
      <c r="A369" s="92" t="s">
        <v>437</v>
      </c>
      <c r="B369" s="92"/>
      <c r="C369" s="92"/>
      <c r="D369" s="92"/>
      <c r="E369" s="10"/>
      <c r="F369" s="10"/>
      <c r="G369" s="11"/>
      <c r="H369" s="10"/>
      <c r="I369" s="10"/>
      <c r="J369" s="10"/>
      <c r="K369" s="12"/>
      <c r="L369" s="12"/>
      <c r="M369" s="14"/>
    </row>
    <row r="370" spans="1:13" s="1" customFormat="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6"/>
      <c r="L370" s="6"/>
      <c r="M370" s="14"/>
    </row>
    <row r="371" spans="1:13" s="1" customFormat="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6"/>
      <c r="L371" s="6"/>
      <c r="M371" s="14"/>
    </row>
    <row r="372" spans="1:13" s="1" customFormat="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6"/>
      <c r="L372" s="6"/>
      <c r="M372" s="14"/>
    </row>
    <row r="373" spans="1:13" s="1" customFormat="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6"/>
      <c r="L373" s="6"/>
      <c r="M373" s="14"/>
    </row>
    <row r="374" spans="1:13" s="1" customFormat="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6"/>
      <c r="L374" s="6"/>
      <c r="M374" s="14"/>
    </row>
    <row r="375" spans="1:13" s="1" customFormat="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6"/>
      <c r="L375" s="6"/>
      <c r="M375" s="14"/>
    </row>
    <row r="376" spans="1:13" s="1" customFormat="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6"/>
      <c r="L376" s="6"/>
      <c r="M376" s="14"/>
    </row>
    <row r="377" spans="1:13" s="1" customFormat="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6"/>
      <c r="L377" s="6"/>
      <c r="M377" s="14"/>
    </row>
    <row r="378" spans="1:13" s="1" customFormat="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6"/>
      <c r="L378" s="6"/>
      <c r="M378" s="14"/>
    </row>
    <row r="379" spans="1:13" s="1" customFormat="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6"/>
      <c r="L379" s="6"/>
      <c r="M379" s="14"/>
    </row>
    <row r="380" spans="1:13" s="1" customFormat="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6"/>
      <c r="L380" s="6"/>
      <c r="M380" s="14"/>
    </row>
    <row r="381" spans="1:13" s="1" customFormat="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6"/>
      <c r="L381" s="6"/>
      <c r="M381" s="14"/>
    </row>
    <row r="382" spans="1:13" s="1" customFormat="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6"/>
      <c r="L382" s="6"/>
      <c r="M382" s="14"/>
    </row>
    <row r="383" spans="1:13" s="1" customFormat="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6"/>
      <c r="L383" s="6"/>
      <c r="M383" s="14"/>
    </row>
    <row r="384" spans="1:13" s="1" customFormat="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6"/>
      <c r="L384" s="6"/>
      <c r="M384" s="14"/>
    </row>
    <row r="385" spans="1:13" s="1" customFormat="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6"/>
      <c r="L385" s="6"/>
      <c r="M385" s="14"/>
    </row>
    <row r="386" spans="1:13" s="1" customFormat="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6"/>
      <c r="L386" s="6"/>
      <c r="M386" s="14"/>
    </row>
    <row r="387" spans="1:13" s="1" customFormat="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6"/>
      <c r="L387" s="6"/>
      <c r="M387" s="14"/>
    </row>
    <row r="388" spans="1:13" s="1" customFormat="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6"/>
      <c r="L388" s="6"/>
      <c r="M388" s="14"/>
    </row>
    <row r="389" spans="1:13" s="1" customFormat="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6"/>
      <c r="L389" s="6"/>
      <c r="M389" s="14"/>
    </row>
    <row r="390" spans="1:13" s="1" customFormat="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6"/>
      <c r="L390" s="6"/>
      <c r="M390" s="14"/>
    </row>
    <row r="391" spans="1:13" s="1" customFormat="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6"/>
      <c r="L391" s="6"/>
      <c r="M391" s="14"/>
    </row>
    <row r="392" spans="1:13" s="1" customFormat="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6"/>
      <c r="L392" s="6"/>
      <c r="M392" s="14"/>
    </row>
    <row r="393" spans="1:13" s="1" customFormat="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6"/>
      <c r="L393" s="6"/>
      <c r="M393" s="14"/>
    </row>
    <row r="394" spans="1:13" s="1" customFormat="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6"/>
      <c r="L394" s="6"/>
      <c r="M394" s="14"/>
    </row>
    <row r="395" spans="1:13" s="1" customFormat="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6"/>
      <c r="L395" s="6"/>
      <c r="M395" s="14"/>
    </row>
    <row r="396" spans="1:13" s="1" customFormat="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6"/>
      <c r="L396" s="6"/>
      <c r="M396" s="14"/>
    </row>
    <row r="397" spans="1:13" s="1" customFormat="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6"/>
      <c r="L397" s="6"/>
      <c r="M397" s="14"/>
    </row>
    <row r="398" spans="1:13" s="1" customFormat="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6"/>
      <c r="L398" s="6"/>
      <c r="M398" s="14"/>
    </row>
    <row r="399" spans="1:13" s="1" customFormat="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6"/>
      <c r="L399" s="6"/>
      <c r="M399" s="14"/>
    </row>
    <row r="400" spans="1:13" s="1" customFormat="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6"/>
      <c r="L400" s="6"/>
      <c r="M400" s="14"/>
    </row>
    <row r="401" spans="1:13" s="1" customFormat="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6"/>
      <c r="L401" s="6"/>
      <c r="M401" s="14"/>
    </row>
    <row r="402" spans="1:13" s="1" customFormat="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6"/>
      <c r="L402" s="6"/>
      <c r="M402" s="14"/>
    </row>
    <row r="403" spans="1:13" s="1" customFormat="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6"/>
      <c r="L403" s="6"/>
      <c r="M403" s="14"/>
    </row>
    <row r="404" spans="1:13" s="1" customFormat="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6"/>
      <c r="L404" s="6"/>
      <c r="M404" s="14"/>
    </row>
    <row r="405" spans="1:13" s="1" customFormat="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6"/>
      <c r="L405" s="6"/>
      <c r="M405" s="14"/>
    </row>
    <row r="406" spans="1:13" s="1" customFormat="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6"/>
      <c r="L406" s="6"/>
      <c r="M406" s="14"/>
    </row>
    <row r="407" spans="1:13" s="1" customFormat="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6"/>
      <c r="L407" s="6"/>
      <c r="M407" s="14"/>
    </row>
    <row r="408" spans="1:13" s="1" customFormat="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6"/>
      <c r="L408" s="6"/>
      <c r="M408" s="14"/>
    </row>
    <row r="409" spans="1:13" s="1" customFormat="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6"/>
      <c r="L409" s="6"/>
      <c r="M409" s="14"/>
    </row>
    <row r="410" spans="1:13" s="1" customFormat="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6"/>
      <c r="L410" s="6"/>
      <c r="M410" s="14"/>
    </row>
    <row r="411" spans="1:13" s="1" customFormat="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6"/>
      <c r="L411" s="6"/>
      <c r="M411" s="14"/>
    </row>
    <row r="412" spans="1:13" s="1" customFormat="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6"/>
      <c r="L412" s="6"/>
      <c r="M412" s="14"/>
    </row>
    <row r="413" spans="1:13" s="1" customFormat="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6"/>
      <c r="L413" s="6"/>
      <c r="M413" s="14"/>
    </row>
    <row r="414" spans="1:13" s="1" customFormat="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6"/>
      <c r="L414" s="6"/>
      <c r="M414" s="14"/>
    </row>
    <row r="415" spans="1:13" s="1" customFormat="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6"/>
      <c r="L415" s="6"/>
      <c r="M415" s="14"/>
    </row>
    <row r="416" spans="1:13" s="1" customFormat="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6"/>
      <c r="L416" s="6"/>
      <c r="M416" s="14"/>
    </row>
    <row r="417" spans="1:13" s="1" customFormat="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6"/>
      <c r="L417" s="6"/>
      <c r="M417" s="14"/>
    </row>
    <row r="418" spans="1:13" s="1" customFormat="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6"/>
      <c r="L418" s="6"/>
      <c r="M418" s="14"/>
    </row>
    <row r="419" spans="1:13" s="1" customFormat="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6"/>
      <c r="L419" s="6"/>
      <c r="M419" s="14"/>
    </row>
    <row r="420" spans="1:13" s="1" customFormat="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6"/>
      <c r="L420" s="6"/>
      <c r="M420" s="14"/>
    </row>
    <row r="421" spans="1:13" s="1" customFormat="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6"/>
      <c r="L421" s="6"/>
      <c r="M421" s="14"/>
    </row>
    <row r="422" spans="1:13" s="1" customFormat="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6"/>
      <c r="L422" s="6"/>
      <c r="M422" s="14"/>
    </row>
    <row r="423" spans="1:13" s="1" customFormat="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6"/>
      <c r="L423" s="6"/>
      <c r="M423" s="14"/>
    </row>
    <row r="424" spans="1:13" s="1" customFormat="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6"/>
      <c r="L424" s="6"/>
      <c r="M424" s="14"/>
    </row>
    <row r="425" spans="1:13" s="1" customFormat="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6"/>
      <c r="L425" s="6"/>
      <c r="M425" s="14"/>
    </row>
    <row r="426" spans="1:13" s="1" customFormat="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6"/>
      <c r="L426" s="6"/>
      <c r="M426" s="14"/>
    </row>
    <row r="427" spans="1:13" s="1" customFormat="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6"/>
      <c r="L427" s="6"/>
      <c r="M427" s="14"/>
    </row>
    <row r="428" spans="1:13" s="1" customFormat="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6"/>
      <c r="L428" s="6"/>
      <c r="M428" s="14"/>
    </row>
    <row r="429" spans="1:13" s="1" customFormat="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6"/>
      <c r="L429" s="6"/>
      <c r="M429" s="14"/>
    </row>
    <row r="430" spans="1:13" s="1" customFormat="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6"/>
      <c r="L430" s="6"/>
      <c r="M430" s="14"/>
    </row>
    <row r="431" spans="1:13" s="1" customFormat="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6"/>
      <c r="L431" s="6"/>
      <c r="M431" s="14"/>
    </row>
    <row r="432" spans="1:13" s="1" customFormat="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6"/>
      <c r="L432" s="6"/>
      <c r="M432" s="14"/>
    </row>
    <row r="433" spans="1:13" s="1" customFormat="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6"/>
      <c r="L433" s="6"/>
      <c r="M433" s="14"/>
    </row>
    <row r="434" spans="1:13" s="1" customFormat="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6"/>
      <c r="L434" s="6"/>
      <c r="M434" s="14"/>
    </row>
    <row r="435" spans="1:13" s="1" customFormat="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6"/>
      <c r="L435" s="6"/>
      <c r="M435" s="14"/>
    </row>
    <row r="436" spans="1:13" s="1" customFormat="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6"/>
      <c r="L436" s="6"/>
      <c r="M436" s="14"/>
    </row>
    <row r="437" spans="1:13" s="1" customFormat="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6"/>
      <c r="L437" s="6"/>
      <c r="M437" s="14"/>
    </row>
    <row r="438" spans="1:13" s="1" customFormat="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6"/>
      <c r="L438" s="6"/>
      <c r="M438" s="14"/>
    </row>
    <row r="439" spans="1:13" s="1" customFormat="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6"/>
      <c r="L439" s="6"/>
      <c r="M439" s="14"/>
    </row>
    <row r="440" spans="1:13" s="1" customFormat="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6"/>
      <c r="L440" s="6"/>
      <c r="M440" s="14"/>
    </row>
    <row r="441" spans="1:13" s="1" customFormat="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6"/>
      <c r="L441" s="6"/>
      <c r="M441" s="14"/>
    </row>
    <row r="442" spans="1:13" s="1" customFormat="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6"/>
      <c r="L442" s="6"/>
      <c r="M442" s="14"/>
    </row>
    <row r="443" spans="1:13" s="1" customFormat="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6"/>
      <c r="L443" s="6"/>
      <c r="M443" s="14"/>
    </row>
    <row r="444" spans="1:13" s="1" customFormat="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6"/>
      <c r="L444" s="6"/>
      <c r="M444" s="14"/>
    </row>
    <row r="445" spans="1:13" s="1" customFormat="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6"/>
      <c r="L445" s="6"/>
      <c r="M445" s="14"/>
    </row>
    <row r="446" spans="1:13" s="1" customFormat="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6"/>
      <c r="L446" s="6"/>
      <c r="M446" s="14"/>
    </row>
    <row r="447" spans="1:13" s="1" customFormat="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6"/>
      <c r="L447" s="6"/>
      <c r="M447" s="14"/>
    </row>
    <row r="448" spans="1:13" s="1" customFormat="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6"/>
      <c r="L448" s="6"/>
      <c r="M448" s="14"/>
    </row>
    <row r="449" spans="1:13" s="1" customFormat="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6"/>
      <c r="L449" s="6"/>
      <c r="M449" s="14"/>
    </row>
    <row r="450" spans="1:13" s="1" customFormat="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6"/>
      <c r="L450" s="6"/>
      <c r="M450" s="14"/>
    </row>
    <row r="451" spans="1:13" s="1" customFormat="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6"/>
      <c r="L451" s="6"/>
      <c r="M451" s="14"/>
    </row>
    <row r="452" spans="1:13" s="1" customFormat="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6"/>
      <c r="L452" s="6"/>
      <c r="M452" s="14"/>
    </row>
    <row r="453" spans="1:13" s="1" customFormat="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6"/>
      <c r="L453" s="6"/>
      <c r="M453" s="14"/>
    </row>
    <row r="454" spans="1:13" s="1" customFormat="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6"/>
      <c r="L454" s="6"/>
      <c r="M454" s="14"/>
    </row>
    <row r="455" spans="1:13" s="1" customFormat="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6"/>
      <c r="L455" s="6"/>
      <c r="M455" s="14"/>
    </row>
    <row r="456" spans="1:13" s="1" customFormat="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6"/>
      <c r="L456" s="6"/>
      <c r="M456" s="14"/>
    </row>
    <row r="457" spans="1:13" s="1" customFormat="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6"/>
      <c r="L457" s="6"/>
      <c r="M457" s="14"/>
    </row>
    <row r="458" spans="1:13" s="1" customFormat="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6"/>
      <c r="L458" s="6"/>
      <c r="M458" s="14"/>
    </row>
    <row r="459" spans="1:13" s="1" customFormat="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6"/>
      <c r="L459" s="6"/>
      <c r="M459" s="14"/>
    </row>
    <row r="460" spans="1:13" s="1" customFormat="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6"/>
      <c r="L460" s="6"/>
      <c r="M460" s="14"/>
    </row>
    <row r="461" spans="1:13" s="1" customFormat="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6"/>
      <c r="L461" s="6"/>
      <c r="M461" s="14"/>
    </row>
    <row r="462" spans="1:13" s="1" customFormat="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6"/>
      <c r="L462" s="6"/>
      <c r="M462" s="14"/>
    </row>
    <row r="463" spans="1:13" s="1" customFormat="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6"/>
      <c r="L463" s="6"/>
      <c r="M463" s="14"/>
    </row>
    <row r="464" spans="1:13" s="1" customFormat="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6"/>
      <c r="L464" s="6"/>
      <c r="M464" s="14"/>
    </row>
    <row r="465" spans="1:13" s="1" customFormat="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6"/>
      <c r="L465" s="6"/>
      <c r="M465" s="14"/>
    </row>
    <row r="466" spans="1:13" s="1" customFormat="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6"/>
      <c r="L466" s="6"/>
      <c r="M466" s="14"/>
    </row>
    <row r="467" spans="1:13" s="1" customFormat="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6"/>
      <c r="L467" s="6"/>
      <c r="M467" s="14"/>
    </row>
    <row r="468" spans="1:13" s="1" customFormat="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6"/>
      <c r="L468" s="6"/>
      <c r="M468" s="14"/>
    </row>
    <row r="469" spans="1:13" s="1" customFormat="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6"/>
      <c r="L469" s="6"/>
      <c r="M469" s="14"/>
    </row>
    <row r="470" spans="1:13" s="1" customFormat="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6"/>
      <c r="L470" s="6"/>
      <c r="M470" s="14"/>
    </row>
    <row r="471" spans="1:13" s="1" customFormat="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6"/>
      <c r="L471" s="6"/>
      <c r="M471" s="14"/>
    </row>
    <row r="472" spans="1:13" s="1" customFormat="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6"/>
      <c r="L472" s="6"/>
      <c r="M472" s="14"/>
    </row>
    <row r="473" spans="1:13" s="1" customFormat="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6"/>
      <c r="L473" s="6"/>
      <c r="M473" s="14"/>
    </row>
    <row r="474" spans="1:13" s="1" customFormat="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6"/>
      <c r="L474" s="6"/>
      <c r="M474" s="14"/>
    </row>
    <row r="475" spans="1:13" s="1" customFormat="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6"/>
      <c r="L475" s="6"/>
      <c r="M475" s="14"/>
    </row>
    <row r="476" spans="1:13" s="1" customFormat="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6"/>
      <c r="L476" s="6"/>
      <c r="M476" s="14"/>
    </row>
    <row r="477" spans="1:13" s="1" customFormat="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6"/>
      <c r="L477" s="6"/>
      <c r="M477" s="14"/>
    </row>
    <row r="478" spans="1:13" s="1" customFormat="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6"/>
      <c r="L478" s="6"/>
      <c r="M478" s="14"/>
    </row>
    <row r="479" spans="1:13" s="1" customFormat="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6"/>
      <c r="L479" s="6"/>
      <c r="M479" s="14"/>
    </row>
    <row r="480" spans="1:13" s="1" customFormat="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6"/>
      <c r="L480" s="6"/>
      <c r="M480" s="14"/>
    </row>
    <row r="481" spans="1:13" s="1" customFormat="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6"/>
      <c r="L481" s="6"/>
      <c r="M481" s="14"/>
    </row>
    <row r="482" spans="1:13" s="1" customFormat="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6"/>
      <c r="L482" s="6"/>
      <c r="M482" s="14"/>
    </row>
    <row r="483" spans="1:13" s="1" customFormat="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6"/>
      <c r="L483" s="6"/>
      <c r="M483" s="14"/>
    </row>
    <row r="484" spans="1:13" s="1" customFormat="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6"/>
      <c r="L484" s="6"/>
      <c r="M484" s="14"/>
    </row>
    <row r="485" spans="1:13" s="1" customFormat="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6"/>
      <c r="L485" s="6"/>
      <c r="M485" s="14"/>
    </row>
    <row r="486" spans="1:13" s="1" customFormat="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6"/>
      <c r="L486" s="6"/>
      <c r="M486" s="14"/>
    </row>
    <row r="487" spans="1:13" s="1" customFormat="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6"/>
      <c r="L487" s="6"/>
      <c r="M487" s="14"/>
    </row>
    <row r="488" spans="1:13" s="1" customFormat="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6"/>
      <c r="L488" s="6"/>
      <c r="M488" s="14"/>
    </row>
    <row r="489" spans="1:13" s="1" customFormat="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6"/>
      <c r="L489" s="6"/>
      <c r="M489" s="14"/>
    </row>
    <row r="490" spans="1:13" s="1" customFormat="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6"/>
      <c r="L490" s="6"/>
      <c r="M490" s="14"/>
    </row>
    <row r="491" spans="1:13" s="1" customFormat="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6"/>
      <c r="L491" s="6"/>
      <c r="M491" s="14"/>
    </row>
    <row r="492" spans="1:13" s="1" customFormat="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6"/>
      <c r="L492" s="6"/>
      <c r="M492" s="14"/>
    </row>
    <row r="493" spans="1:13" s="1" customFormat="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6"/>
      <c r="L493" s="6"/>
      <c r="M493" s="14"/>
    </row>
    <row r="494" spans="1:13" s="1" customFormat="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6"/>
      <c r="L494" s="6"/>
      <c r="M494" s="14"/>
    </row>
    <row r="495" spans="1:13" s="1" customFormat="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6"/>
      <c r="L495" s="6"/>
      <c r="M495" s="14"/>
    </row>
    <row r="496" spans="1:13" s="1" customFormat="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6"/>
      <c r="L496" s="6"/>
      <c r="M496" s="14"/>
    </row>
    <row r="497" spans="1:13" s="1" customFormat="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6"/>
      <c r="L497" s="6"/>
      <c r="M497" s="14"/>
    </row>
    <row r="498" spans="1:13" s="1" customFormat="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6"/>
      <c r="L498" s="6"/>
      <c r="M498" s="14"/>
    </row>
    <row r="499" spans="1:13" s="1" customFormat="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6"/>
      <c r="L499" s="6"/>
      <c r="M499" s="14"/>
    </row>
    <row r="500" spans="1:13" s="1" customFormat="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6"/>
      <c r="L500" s="6"/>
      <c r="M500" s="14"/>
    </row>
    <row r="501" spans="1:13" s="1" customFormat="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6"/>
      <c r="L501" s="6"/>
      <c r="M501" s="14"/>
    </row>
    <row r="502" spans="1:13" s="1" customFormat="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6"/>
      <c r="L502" s="6"/>
      <c r="M502" s="14"/>
    </row>
    <row r="503" spans="1:13" s="1" customFormat="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6"/>
      <c r="L503" s="6"/>
      <c r="M503" s="14"/>
    </row>
    <row r="504" spans="1:13" s="1" customFormat="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6"/>
      <c r="L504" s="6"/>
      <c r="M504" s="14"/>
    </row>
    <row r="505" spans="1:13" s="1" customFormat="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6"/>
      <c r="L505" s="6"/>
      <c r="M505" s="14"/>
    </row>
    <row r="506" spans="1:13" s="1" customFormat="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6"/>
      <c r="L506" s="6"/>
      <c r="M506" s="14"/>
    </row>
    <row r="507" spans="1:13" s="1" customFormat="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6"/>
      <c r="L507" s="6"/>
      <c r="M507" s="14"/>
    </row>
    <row r="508" spans="1:13" s="1" customFormat="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6"/>
      <c r="L508" s="6"/>
      <c r="M508" s="14"/>
    </row>
    <row r="509" spans="1:13" s="1" customFormat="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6"/>
      <c r="L509" s="6"/>
      <c r="M509" s="14"/>
    </row>
    <row r="510" spans="1:13" s="1" customFormat="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6"/>
      <c r="L510" s="6"/>
      <c r="M510" s="14"/>
    </row>
    <row r="511" spans="1:13" s="1" customFormat="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6"/>
      <c r="L511" s="6"/>
      <c r="M511" s="14"/>
    </row>
    <row r="512" spans="1:13" s="1" customFormat="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6"/>
      <c r="L512" s="6"/>
      <c r="M512" s="14"/>
    </row>
    <row r="513" spans="1:13" s="1" customFormat="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6"/>
      <c r="L513" s="6"/>
      <c r="M513" s="14"/>
    </row>
    <row r="514" spans="1:13" s="1" customFormat="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6"/>
      <c r="L514" s="6"/>
      <c r="M514" s="14"/>
    </row>
    <row r="515" spans="1:13" s="1" customFormat="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6"/>
      <c r="L515" s="6"/>
      <c r="M515" s="14"/>
    </row>
    <row r="516" spans="1:13" s="1" customFormat="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6"/>
      <c r="L516" s="6"/>
      <c r="M516" s="14"/>
    </row>
    <row r="517" spans="1:13" s="1" customFormat="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6"/>
      <c r="L517" s="6"/>
      <c r="M517" s="14"/>
    </row>
    <row r="518" spans="1:13" s="1" customFormat="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6"/>
      <c r="L518" s="6"/>
      <c r="M518" s="14"/>
    </row>
    <row r="519" spans="1:13" s="1" customFormat="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6"/>
      <c r="L519" s="6"/>
      <c r="M519" s="14"/>
    </row>
    <row r="520" spans="1:13" s="1" customFormat="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6"/>
      <c r="L520" s="6"/>
      <c r="M520" s="14"/>
    </row>
    <row r="521" spans="1:13" s="1" customFormat="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6"/>
      <c r="L521" s="6"/>
      <c r="M521" s="14"/>
    </row>
    <row r="522" spans="1:13" s="1" customFormat="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6"/>
      <c r="L522" s="6"/>
      <c r="M522" s="14"/>
    </row>
    <row r="523" spans="1:13" s="1" customFormat="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6"/>
      <c r="L523" s="6"/>
      <c r="M523" s="14"/>
    </row>
    <row r="524" spans="1:13" s="1" customFormat="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6"/>
      <c r="L524" s="6"/>
      <c r="M524" s="14"/>
    </row>
    <row r="525" spans="1:13" s="1" customFormat="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6"/>
      <c r="L525" s="6"/>
      <c r="M525" s="14"/>
    </row>
    <row r="526" spans="1:13" s="1" customFormat="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6"/>
      <c r="L526" s="6"/>
      <c r="M526" s="14"/>
    </row>
    <row r="527" spans="1:13" s="1" customFormat="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6"/>
      <c r="L527" s="6"/>
      <c r="M527" s="14"/>
    </row>
    <row r="528" spans="1:13" s="1" customFormat="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6"/>
      <c r="L528" s="6"/>
      <c r="M528" s="14"/>
    </row>
    <row r="529" spans="1:13" s="1" customFormat="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6"/>
      <c r="L529" s="6"/>
      <c r="M529" s="14"/>
    </row>
    <row r="530" spans="1:13" s="1" customFormat="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6"/>
      <c r="L530" s="6"/>
      <c r="M530" s="14"/>
    </row>
    <row r="531" spans="1:13" s="1" customFormat="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6"/>
      <c r="L531" s="6"/>
      <c r="M531" s="14"/>
    </row>
    <row r="532" spans="1:13" s="1" customFormat="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6"/>
      <c r="L532" s="6"/>
      <c r="M532" s="14"/>
    </row>
  </sheetData>
  <mergeCells count="4">
    <mergeCell ref="C3:K3"/>
    <mergeCell ref="A368:D368"/>
    <mergeCell ref="A369:D369"/>
    <mergeCell ref="A1:L1"/>
  </mergeCells>
  <printOptions/>
  <pageMargins left="0.2362204724409449" right="0.2362204724409449" top="0.7874015748031497" bottom="0.7874015748031497" header="0.31496062992125984" footer="0.31496062992125984"/>
  <pageSetup fitToHeight="0" fitToWidth="1" horizontalDpi="600" verticalDpi="600" orientation="portrait" paperSize="9" scale="75" r:id="rId1"/>
  <headerFooter>
    <oddHeader>&amp;R&amp;"Century Gothic,Obyčejné"&amp;9Příloha č. 7</oddHeader>
  </headerFooter>
  <rowBreaks count="6" manualBreakCount="6">
    <brk id="55" max="16383" man="1"/>
    <brk id="103" max="16383" man="1"/>
    <brk id="157" max="16383" man="1"/>
    <brk id="209" max="16383" man="1"/>
    <brk id="263" max="16383" man="1"/>
    <brk id="3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L25"/>
  <sheetViews>
    <sheetView workbookViewId="0" topLeftCell="A1">
      <selection activeCell="K20" sqref="K20"/>
    </sheetView>
  </sheetViews>
  <sheetFormatPr defaultColWidth="9.140625" defaultRowHeight="15"/>
  <sheetData>
    <row r="13" ht="15.75" thickBot="1"/>
    <row r="14" spans="5:12" ht="15">
      <c r="E14" s="95" t="s">
        <v>421</v>
      </c>
      <c r="F14" s="95" t="s">
        <v>422</v>
      </c>
      <c r="G14" s="95" t="s">
        <v>423</v>
      </c>
      <c r="H14" s="95" t="s">
        <v>424</v>
      </c>
      <c r="I14" s="95" t="s">
        <v>425</v>
      </c>
      <c r="J14" s="95" t="s">
        <v>426</v>
      </c>
      <c r="K14" s="95" t="s">
        <v>427</v>
      </c>
      <c r="L14" s="52" t="s">
        <v>428</v>
      </c>
    </row>
    <row r="15" spans="5:12" ht="51">
      <c r="E15" s="96"/>
      <c r="F15" s="96"/>
      <c r="G15" s="96"/>
      <c r="H15" s="96"/>
      <c r="I15" s="96"/>
      <c r="J15" s="96"/>
      <c r="K15" s="96"/>
      <c r="L15" s="53" t="s">
        <v>429</v>
      </c>
    </row>
    <row r="16" spans="5:12" ht="26.25" thickBot="1">
      <c r="E16" s="97"/>
      <c r="F16" s="97"/>
      <c r="G16" s="97"/>
      <c r="H16" s="97"/>
      <c r="I16" s="97"/>
      <c r="J16" s="97"/>
      <c r="K16" s="97"/>
      <c r="L16" s="54" t="s">
        <v>430</v>
      </c>
    </row>
    <row r="17" spans="5:12" ht="15.75" thickBot="1">
      <c r="E17" s="55"/>
      <c r="F17" s="56"/>
      <c r="G17" s="56"/>
      <c r="H17" s="56"/>
      <c r="I17" s="56" t="s">
        <v>431</v>
      </c>
      <c r="J17" s="56" t="s">
        <v>431</v>
      </c>
      <c r="K17" s="56" t="s">
        <v>431</v>
      </c>
      <c r="L17" s="57" t="s">
        <v>432</v>
      </c>
    </row>
    <row r="18" spans="5:12" ht="15.75" thickBot="1">
      <c r="E18" s="58" t="s">
        <v>87</v>
      </c>
      <c r="F18" s="59">
        <v>70</v>
      </c>
      <c r="G18" s="59">
        <v>7</v>
      </c>
      <c r="H18" s="60">
        <v>85497</v>
      </c>
      <c r="I18" s="60">
        <v>3469</v>
      </c>
      <c r="J18" s="60">
        <v>44363</v>
      </c>
      <c r="K18" s="60">
        <v>47832</v>
      </c>
      <c r="L18" s="61">
        <v>559</v>
      </c>
    </row>
    <row r="19" spans="5:12" ht="15.75" thickBot="1">
      <c r="E19" s="58" t="s">
        <v>50</v>
      </c>
      <c r="F19" s="59">
        <v>105</v>
      </c>
      <c r="G19" s="59">
        <v>9</v>
      </c>
      <c r="H19" s="60">
        <v>117430</v>
      </c>
      <c r="I19" s="61">
        <v>0</v>
      </c>
      <c r="J19" s="60">
        <v>38486</v>
      </c>
      <c r="K19" s="60">
        <v>38486</v>
      </c>
      <c r="L19" s="61">
        <v>328</v>
      </c>
    </row>
    <row r="20" spans="5:12" ht="15.75" thickBot="1">
      <c r="E20" s="58" t="s">
        <v>24</v>
      </c>
      <c r="F20" s="59">
        <v>44</v>
      </c>
      <c r="G20" s="59">
        <v>7</v>
      </c>
      <c r="H20" s="60">
        <v>121166</v>
      </c>
      <c r="I20" s="61">
        <v>941</v>
      </c>
      <c r="J20" s="61" t="s">
        <v>433</v>
      </c>
      <c r="K20" s="60">
        <v>55090</v>
      </c>
      <c r="L20" s="61">
        <v>455</v>
      </c>
    </row>
    <row r="21" spans="5:12" ht="15.75" thickBot="1">
      <c r="E21" s="58" t="s">
        <v>1</v>
      </c>
      <c r="F21" s="59">
        <v>52</v>
      </c>
      <c r="G21" s="59">
        <v>6</v>
      </c>
      <c r="H21" s="60">
        <v>125773</v>
      </c>
      <c r="I21" s="61">
        <v>0</v>
      </c>
      <c r="J21" s="60">
        <v>41877</v>
      </c>
      <c r="K21" s="60">
        <v>41877</v>
      </c>
      <c r="L21" s="61">
        <v>333</v>
      </c>
    </row>
    <row r="22" spans="5:12" ht="15.75" thickBot="1">
      <c r="E22" s="58" t="s">
        <v>118</v>
      </c>
      <c r="F22" s="59">
        <v>34</v>
      </c>
      <c r="G22" s="59">
        <v>4</v>
      </c>
      <c r="H22" s="60">
        <v>124345</v>
      </c>
      <c r="I22" s="61">
        <v>0</v>
      </c>
      <c r="J22" s="60">
        <v>32992</v>
      </c>
      <c r="K22" s="60">
        <v>32992</v>
      </c>
      <c r="L22" s="61">
        <v>265</v>
      </c>
    </row>
    <row r="23" spans="5:12" ht="15.75" thickBot="1">
      <c r="E23" s="58" t="s">
        <v>434</v>
      </c>
      <c r="F23" s="59">
        <v>23</v>
      </c>
      <c r="G23" s="59">
        <v>4</v>
      </c>
      <c r="H23" s="60">
        <v>116323</v>
      </c>
      <c r="I23" s="61">
        <v>50</v>
      </c>
      <c r="J23" s="60">
        <v>137991</v>
      </c>
      <c r="K23" s="60">
        <v>138041</v>
      </c>
      <c r="L23" s="60">
        <v>1187</v>
      </c>
    </row>
    <row r="24" spans="5:12" ht="15.75" thickBot="1">
      <c r="E24" s="58" t="s">
        <v>107</v>
      </c>
      <c r="F24" s="59">
        <v>26</v>
      </c>
      <c r="G24" s="59">
        <v>3</v>
      </c>
      <c r="H24" s="60">
        <v>106176</v>
      </c>
      <c r="I24" s="61">
        <v>0</v>
      </c>
      <c r="J24" s="60">
        <v>60706</v>
      </c>
      <c r="K24" s="60">
        <v>60706</v>
      </c>
      <c r="L24" s="61">
        <v>572</v>
      </c>
    </row>
    <row r="25" spans="5:12" ht="15.75" thickBot="1">
      <c r="E25" s="62" t="s">
        <v>435</v>
      </c>
      <c r="F25" s="63">
        <v>354</v>
      </c>
      <c r="G25" s="63">
        <v>40</v>
      </c>
      <c r="H25" s="64">
        <v>796710</v>
      </c>
      <c r="I25" s="64">
        <v>4460</v>
      </c>
      <c r="J25" s="64">
        <v>410564</v>
      </c>
      <c r="K25" s="64">
        <v>415024</v>
      </c>
      <c r="L25" s="65">
        <v>521</v>
      </c>
    </row>
  </sheetData>
  <mergeCells count="7">
    <mergeCell ref="K14:K16"/>
    <mergeCell ref="E14:E16"/>
    <mergeCell ref="F14:F16"/>
    <mergeCell ref="G14:G16"/>
    <mergeCell ref="H14:H16"/>
    <mergeCell ref="I14:I16"/>
    <mergeCell ref="J14:J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Báčová Martina</dc:creator>
  <cp:keywords/>
  <dc:description/>
  <cp:lastModifiedBy>Uživatel systému Windows</cp:lastModifiedBy>
  <cp:lastPrinted>2023-05-12T09:26:47Z</cp:lastPrinted>
  <dcterms:created xsi:type="dcterms:W3CDTF">2021-04-26T12:57:12Z</dcterms:created>
  <dcterms:modified xsi:type="dcterms:W3CDTF">2023-06-05T14:33:57Z</dcterms:modified>
  <cp:category/>
  <cp:version/>
  <cp:contentType/>
  <cp:contentStatus/>
</cp:coreProperties>
</file>